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sinska_P\Desktop\"/>
    </mc:Choice>
  </mc:AlternateContent>
  <bookViews>
    <workbookView xWindow="0" yWindow="0" windowWidth="23040" windowHeight="8835" activeTab="1"/>
  </bookViews>
  <sheets>
    <sheet name="Arkusz1" sheetId="1" r:id="rId1"/>
    <sheet name="Ryczałt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3" l="1"/>
  <c r="C31" i="3" s="1"/>
  <c r="C37" i="3"/>
  <c r="C30" i="3"/>
  <c r="C22" i="3" s="1"/>
  <c r="C28" i="3"/>
  <c r="C8" i="3"/>
  <c r="C3" i="3" s="1"/>
  <c r="C25" i="1" l="1"/>
  <c r="C35" i="1"/>
  <c r="C8" i="1" l="1"/>
  <c r="C3" i="1" s="1"/>
  <c r="C44" i="1"/>
  <c r="C31" i="1"/>
  <c r="C28" i="1"/>
  <c r="C53" i="1"/>
  <c r="C45" i="1"/>
  <c r="C51" i="1"/>
  <c r="C36" i="1"/>
  <c r="C42" i="1"/>
  <c r="C24" i="1"/>
  <c r="C22" i="1"/>
  <c r="C20" i="1"/>
  <c r="C18" i="1"/>
  <c r="C16" i="1"/>
  <c r="C14" i="1"/>
  <c r="C12" i="1"/>
  <c r="C10" i="1" l="1"/>
  <c r="C54" i="1" l="1"/>
</calcChain>
</file>

<file path=xl/sharedStrings.xml><?xml version="1.0" encoding="utf-8"?>
<sst xmlns="http://schemas.openxmlformats.org/spreadsheetml/2006/main" count="237" uniqueCount="138">
  <si>
    <t>1.1.</t>
  </si>
  <si>
    <t>WIBOR 1M wyrażony w procentach</t>
  </si>
  <si>
    <t>1.1.1.</t>
  </si>
  <si>
    <t>1.2.</t>
  </si>
  <si>
    <t>1.3.</t>
  </si>
  <si>
    <t>Wyliczenie kosztu oprocentowania kredytu według wzoru:</t>
  </si>
  <si>
    <t>2.1.</t>
  </si>
  <si>
    <t>Opłata miesięczna za prowadzenie jednego rachunku</t>
  </si>
  <si>
    <t>2.2.</t>
  </si>
  <si>
    <t>2.3.</t>
  </si>
  <si>
    <t>2.4.</t>
  </si>
  <si>
    <t>2.5.</t>
  </si>
  <si>
    <t>2.6.</t>
  </si>
  <si>
    <t>2.7.</t>
  </si>
  <si>
    <t>Opłata za jeden przelew (papierowy lub elektroniczny) poza bank (przelewy zewnętrzne), w tym z wpływów bieżących</t>
  </si>
  <si>
    <t>2.8.</t>
  </si>
  <si>
    <t>Opłata za przelewy zewnętrzne przewidywane do realizacji przez 60 miesięcy, po 32.100 sztuk miesięcznie</t>
  </si>
  <si>
    <t>Opłata za przelewy wewnętrzne przewidywane do realizacji przez 60 miesięcy, po 1.745 sztuk miesięcznie</t>
  </si>
  <si>
    <t>2.9.</t>
  </si>
  <si>
    <t>Opłata za jeden przelew zagraniczny (papierowy lub elektroniczny)</t>
  </si>
  <si>
    <t>2.10.</t>
  </si>
  <si>
    <t>2.11.</t>
  </si>
  <si>
    <t>2.12.</t>
  </si>
  <si>
    <t>2.13.</t>
  </si>
  <si>
    <t>Opłata za świadczenie usługi automatycznej Identyfikacji Płatnika przez 60 miesięcy</t>
  </si>
  <si>
    <t>2.14.</t>
  </si>
  <si>
    <t>3.</t>
  </si>
  <si>
    <t>3.1.</t>
  </si>
  <si>
    <t>3.2.</t>
  </si>
  <si>
    <t>Wysokość prowizji wyrażona w procentach od dokonanych wpłat przez klientów na rzecz Zamawiającego za pomocą terminali kart płatniczych</t>
  </si>
  <si>
    <t>3.3.</t>
  </si>
  <si>
    <t>3.4.</t>
  </si>
  <si>
    <t>Opłata za obsługę oraz serwisowanie jednej kasy automatycznej za okres 60 miesięcy</t>
  </si>
  <si>
    <t>3.5.</t>
  </si>
  <si>
    <t>Wysokość prowizji wyrażona w procentach od dokonanych wpłat przez Klientów na rzecz Zamawiającego za pomocą kasy automatycznej</t>
  </si>
  <si>
    <t>3.6.</t>
  </si>
  <si>
    <t>Opłata z tytułu prowizji od dokonanych wpłat przez Klientów na rzecz Zamawiajacego za pomocą kasy automatycznej za okres 60 miesięcy w szacunkowej kwocie 26.000,00 zł.</t>
  </si>
  <si>
    <t>3.7.</t>
  </si>
  <si>
    <t>3.8.</t>
  </si>
  <si>
    <t>3.9.</t>
  </si>
  <si>
    <t>4.</t>
  </si>
  <si>
    <t>4.1.</t>
  </si>
  <si>
    <t>4.2.</t>
  </si>
  <si>
    <t>Odsetki od dodatniego salda rachunku skonsolidowanego będą naliczane codziennie i będą podlegały kapitalizacji na koniec każdego miesiąca</t>
  </si>
  <si>
    <t>4.3.</t>
  </si>
  <si>
    <t>4.4.</t>
  </si>
  <si>
    <t>4.3.1.</t>
  </si>
  <si>
    <t>4.5.</t>
  </si>
  <si>
    <t>Wyliczenie przychodów z oprocentowania osadu na rachunku skonsolidowanym</t>
  </si>
  <si>
    <t>5.</t>
  </si>
  <si>
    <t>Przychody z oprocentowania osadu na rachunkach niepodlegających konsolidacji na dzień 25.05.2017r.</t>
  </si>
  <si>
    <t>5.1.</t>
  </si>
  <si>
    <t>Średniomiesięczny osad na rachunkach niepodlegających konsolidacji wynosi 4.080.000,00 zł.</t>
  </si>
  <si>
    <t>5.2.</t>
  </si>
  <si>
    <t>5.3.</t>
  </si>
  <si>
    <t>5.3.1.</t>
  </si>
  <si>
    <t>5.4.</t>
  </si>
  <si>
    <t>5.5.</t>
  </si>
  <si>
    <t>Wyliczenie przychodów z oprocentowania osadu na rachunkach nieskonsolidowanych</t>
  </si>
  <si>
    <t>6.</t>
  </si>
  <si>
    <t>Do wyliczenia wartości przyjęto dane:</t>
  </si>
  <si>
    <t>Odsetki od dodatniego salda na  rachunkach nieskonsolidowanych będą naliczane codziennie i będą podlegały kapitalizacji na koniec każdego miesiąca</t>
  </si>
  <si>
    <t>Opłata za prowadzenie 260 rachunków przez 60 miesięcy</t>
  </si>
  <si>
    <t>Opłata z tytułu operacji wypłat gotówkowych, w tym z wpływów bieżących, od wypłat przewidywanych do realizacji przez 60 miesięcy, po 160 wypłat na miesiąc</t>
  </si>
  <si>
    <t>Opłata miesięczna za świadczenie usługi automatycznej Identyfikacji Płatnika dla 25.405 płatników</t>
  </si>
  <si>
    <t xml:space="preserve">Planowana ilość kart przedpłaconych: użytkowanych  średnio  przez 2.000 kontrahentów </t>
  </si>
  <si>
    <t>Wskaźnik zaoferowany przez Bank, przez który zostanie pomnożony WIBID 1M w celu wyliczenia oprocentowania środków na rachunku skonsolidowanym</t>
  </si>
  <si>
    <t>4.6.</t>
  </si>
  <si>
    <t>Wskaźnik zaoferowany przez Bank, przez który zostanie pomnożony WIBID 1M w celu wyliczenia oprocentowania środków na rachunkach nieskonsolidowanych</t>
  </si>
  <si>
    <t>Opis sposobu wyliczenia WIBOR 1M podanego w pkt. 1.1. stosowanego przez Wykonawcę z podaniem dni i miesięcy, które posłużyły do wyliczenia średniej stawki</t>
  </si>
  <si>
    <t>Marża bankowa (dodatnia lub ujemna) dotycząca oprocentowania kredytu, jako składowa (obok WIBOR 1M) stopy procentowej kredytu, podana w procentach</t>
  </si>
  <si>
    <t>Opłata za 197 stanowisk bankowości elektronicznej przez 60 miesięcy</t>
  </si>
  <si>
    <t>Opłata za wydanie i obsługę karty przedpłaconej</t>
  </si>
  <si>
    <t>Opłata za wydanie i obsługę kart przedpłaconych za okres 5 lat</t>
  </si>
  <si>
    <t xml:space="preserve">Oprocentowanie środków na rachunku skonsolidowanym liczone według stawki WIBID 1M, pomnożonej przez wskaźnik podany w pkt 4.4 (który powinien być różny od zera) zaoferowany przez Bank </t>
  </si>
  <si>
    <t xml:space="preserve">Oprocentowanie środków na rachunkach nieskonsolidowanych liczone według stawki WIBID 1M pomnożonej przez wskaźnik podany w pkt 5.4(który powinien być różny od zera) zaoferowany przez Bank </t>
  </si>
  <si>
    <t>WIBOR 1M i WIBID 1M dla potrzeby porównania ofert:</t>
  </si>
  <si>
    <r>
      <t>5.000.000,00 zł.</t>
    </r>
    <r>
      <rPr>
        <vertAlign val="superscript"/>
        <sz val="12"/>
        <color theme="1"/>
        <rFont val="Arial Narrow"/>
        <family val="2"/>
        <charset val="238"/>
      </rPr>
      <t>*)</t>
    </r>
    <r>
      <rPr>
        <sz val="12"/>
        <color theme="1"/>
        <rFont val="Arial Narrow"/>
        <family val="2"/>
        <charset val="238"/>
      </rPr>
      <t xml:space="preserve"> x (1,66 + marża)</t>
    </r>
  </si>
  <si>
    <r>
      <t>Opłata z tytułu prowizji od dokonanych wpłat przez Klientów na rzecz Zamawiającego za pomocą terminali kart płatniczych za cały okres objęty umową,  w szacunkowej kwocie</t>
    </r>
    <r>
      <rPr>
        <sz val="12"/>
        <color rgb="FFFF0000"/>
        <rFont val="Arial Narrow"/>
        <family val="2"/>
        <charset val="238"/>
      </rPr>
      <t xml:space="preserve"> </t>
    </r>
    <r>
      <rPr>
        <sz val="12"/>
        <rFont val="Arial Narrow"/>
        <family val="2"/>
        <charset val="238"/>
      </rPr>
      <t>9.000.000,00</t>
    </r>
    <r>
      <rPr>
        <sz val="12"/>
        <color theme="1"/>
        <rFont val="Arial Narrow"/>
        <family val="2"/>
        <charset val="238"/>
      </rPr>
      <t xml:space="preserve"> zł.</t>
    </r>
  </si>
  <si>
    <r>
      <t xml:space="preserve">WIBID 1M </t>
    </r>
    <r>
      <rPr>
        <sz val="12"/>
        <rFont val="Arial Narrow"/>
        <family val="2"/>
        <charset val="238"/>
      </rPr>
      <t>stosowany przez Bank</t>
    </r>
    <r>
      <rPr>
        <sz val="12"/>
        <color theme="1"/>
        <rFont val="Arial Narrow"/>
        <family val="2"/>
        <charset val="238"/>
      </rPr>
      <t xml:space="preserve"> wyrażony w procentach, dla którego bazą jest wartość WIBID 1M wg serwisu Reuters</t>
    </r>
  </si>
  <si>
    <r>
      <t>P</t>
    </r>
    <r>
      <rPr>
        <vertAlign val="subscript"/>
        <sz val="12"/>
        <color theme="1"/>
        <rFont val="Arial Narrow"/>
        <family val="2"/>
        <charset val="238"/>
      </rPr>
      <t>K</t>
    </r>
    <r>
      <rPr>
        <sz val="12"/>
        <color theme="1"/>
        <rFont val="Arial Narrow"/>
        <family val="2"/>
        <charset val="238"/>
      </rPr>
      <t xml:space="preserve"> = 31.505.000,00 zł. x 1,46 x wskaźnik zaoferowany przez Bank x 5 lat</t>
    </r>
  </si>
  <si>
    <t>1.</t>
  </si>
  <si>
    <t>2.</t>
  </si>
  <si>
    <t>5.6.</t>
  </si>
  <si>
    <t>zł</t>
  </si>
  <si>
    <t>%</t>
  </si>
  <si>
    <t>Wykorzystanie produktów bankowych oparte o szacowany poziom wynikający z wykonania roku 2016 i I kwartał 2017 r. oraz przewidywane potrzeby na kolejne 5 lat;</t>
  </si>
  <si>
    <t xml:space="preserve">Przychody z oprocentowania osadu na rachunku skonsolidowanym na dzień 25.05.2017 r. </t>
  </si>
  <si>
    <t>Opis sposobu wyliczenia WIBID 1M podanego w pkt. 5.3. stosowanego przez Wykonawcę z podaniem dni i miesięcy, będących podstawą wyliczenia średniej za dany miesiąc na dzień 25.05.2017 r.</t>
  </si>
  <si>
    <t>Dane do oszacowania wartości obsługi bankowej 
budżetu Miasta Piotrkowa Trybunalskiego</t>
  </si>
  <si>
    <t>Opłata miesięczna, abonamentowa za korzystanie z systemu bankowości elektronicznej za jedno stanowisko</t>
  </si>
  <si>
    <t>Opłata za jeden przelew (papierowy lub elektroniczny) w ramach banku (przelewy wewnętrzne), w tym z wpływów bieżących</t>
  </si>
  <si>
    <t>Opłata za przelewy zagraniczne przewidywane do realizacji przez 60 miesięcy, w ilości jedna sztuka miesięcznie</t>
  </si>
  <si>
    <t xml:space="preserve">Opłata z tytułu operacji wypłaty gotówkowej, w tym z wpływów bieżących, wyrażona w złotych za jedną wypłatę </t>
  </si>
  <si>
    <t>Średniomiesięczny osad na rachunku skonsolidowanym 31.505.000,00 zł</t>
  </si>
  <si>
    <t>Opis sposobu wyliczenia WIBID 1M podanego w pkt. 4.3. stosowanego przez Wykonawcę z podaniem dni i miesięcy, będących podstawą wyliczenia średniej za dany miesiąc na dzień 25.05.2017 r.</t>
  </si>
  <si>
    <r>
      <t xml:space="preserve">*) </t>
    </r>
    <r>
      <rPr>
        <sz val="10"/>
        <color theme="1"/>
        <rFont val="Arial Narrow"/>
        <family val="2"/>
        <charset val="238"/>
      </rPr>
      <t>prognozowany poziom wykorzystania kredytów w rachunku bieżącym w okresie obowiązywania umowy;</t>
    </r>
    <r>
      <rPr>
        <vertAlign val="superscript"/>
        <sz val="10"/>
        <color theme="1"/>
        <rFont val="Arial Narrow"/>
        <family val="2"/>
        <charset val="238"/>
      </rPr>
      <t xml:space="preserve"> </t>
    </r>
    <r>
      <rPr>
        <sz val="10"/>
        <color theme="1"/>
        <rFont val="Arial Narrow"/>
        <family val="2"/>
        <charset val="238"/>
      </rPr>
      <t>założono brak prowizji od kredytu w rachunku bieżącym</t>
    </r>
  </si>
  <si>
    <t>Koszty kredytu w rachunku bieżącym wyliczone 
na dzień 25 maja 2017 r.</t>
  </si>
  <si>
    <t>Koszty obsługi rachunków (suma opłat z punktów 2.2, 2.4, 2.6, 2.8, 2.10, 2.12, 2.14)</t>
  </si>
  <si>
    <t>określić zaokrąglenie?</t>
  </si>
  <si>
    <r>
      <t xml:space="preserve">Opłata za instalację i konfigurację oraz za wynajem i serwisowanie 7 sztuk terminali kart płatniczych za okres 60 miesięcy </t>
    </r>
    <r>
      <rPr>
        <sz val="11"/>
        <color theme="1"/>
        <rFont val="Arial Narrow"/>
        <family val="2"/>
        <charset val="238"/>
      </rPr>
      <t>(obecnie Miasto Piotrków Trybunalski posiada 4 terminale płatnicze)</t>
    </r>
  </si>
  <si>
    <t>szt.</t>
  </si>
  <si>
    <t>3.10.</t>
  </si>
  <si>
    <t>Opłata za dostarczenie i zainstalowanie systemu do obsługi kart przedpłaconych</t>
  </si>
  <si>
    <t>Inne koszty (suma opłat z punktów 3.1., 3.3., 3.4., 3.6., 3.9., 3.10.)</t>
  </si>
  <si>
    <r>
      <t>P</t>
    </r>
    <r>
      <rPr>
        <vertAlign val="subscript"/>
        <sz val="12"/>
        <color theme="1"/>
        <rFont val="Arial Narrow"/>
        <family val="2"/>
        <charset val="238"/>
      </rPr>
      <t>NK</t>
    </r>
    <r>
      <rPr>
        <sz val="12"/>
        <color theme="1"/>
        <rFont val="Arial Narrow"/>
        <family val="2"/>
        <charset val="238"/>
      </rPr>
      <t xml:space="preserve"> = 4.080.000,00 zł. x 1,46% x wskaźnik zaoferowany przez Bank x 5 lat</t>
    </r>
  </si>
  <si>
    <t>WIBOR 1M = 1,66%</t>
  </si>
  <si>
    <t>WIBID 1M = 1,46%</t>
  </si>
  <si>
    <t>Cena ofertowa określona do dwóch miejsc po przecinku                            [(pkt 1 + pkt 2+ pkt 3) - (pkt 4 + pkt 5)]</t>
  </si>
  <si>
    <t>Korzystanie z bankowości elektronicznej na 197 stanowiskach bankowości elektronicznej przez 60 miesięcy</t>
  </si>
  <si>
    <t>Prowadzenie 260 rachunków bankowych przez 60 miesięcy</t>
  </si>
  <si>
    <t>Realizacja miesięcznie 32100 sztuk przelewów zewnętrznych przewidywanych do realizacji przez 60 miesięcy</t>
  </si>
  <si>
    <t>Świadczenie usługi automatycznej Identyfikacji Płatnika przez 60 miesięcy dla 25405 płatników</t>
  </si>
  <si>
    <t>Realizacja 160 wypłat gotówkowych miesięcznie, w tym z wpływów bieżących, od wypłat przewidywanych do realizacji przez 60 miesięcy</t>
  </si>
  <si>
    <t>Dostarczenie i zainstalowanie systemu do obsługi kart przedpłaconych</t>
  </si>
  <si>
    <t>Wydanie i obsługa kart przedpłaconych za okres 5 lat użytkowanych przez średnio 2000 kontrahentów</t>
  </si>
  <si>
    <t>3.3.1</t>
  </si>
  <si>
    <t>Realizacja miesięcznie 1745 sztuk przelewów wewnętrznych przewidywanych do realizacji przez 60 miesięcy</t>
  </si>
  <si>
    <t>Cena ofertowa określona do dwóch miejsc po przecinku                            [(pkt 1 + pkt 2) - (pkt 3 + pkt 4)]</t>
  </si>
  <si>
    <t>Koszty kredytu w rachunku bieżącym wyliczone 
na dzień 26 czerwca 2017 r.</t>
  </si>
  <si>
    <t>Opis sposobu wyliczenia WIBID 1M podanego w pkt. 4.3. stosowanego przez Wykonawcę z podaniem dni i miesięcy, będących podstawą wyliczenia średniej za dany miesiąc na dzień 26.06.2017 r.</t>
  </si>
  <si>
    <t>Przychody z oprocentowania osadu na rachunkach niepodlegających konsolidacji na dzień 26.06.2017r.</t>
  </si>
  <si>
    <r>
      <t xml:space="preserve">Inne niż wymienione w pkt 13 opisu przedmiotu zamówienia koszty obsługi 7 sztuk terminali kart płatniczych za okres 60 miesięcy </t>
    </r>
    <r>
      <rPr>
        <sz val="11"/>
        <color theme="1"/>
        <rFont val="Arial Narrow"/>
        <family val="2"/>
        <charset val="238"/>
      </rPr>
      <t>(obecnie Miasto Piotrków Trybunalski posiada 4 terminale płatnicze, a szacunkowa wartość wpłat dokonanych przez Klientów UM za pomocą terminali płatniczych za okres 60 miesięcy wynosi  9.000.000,00 złotych).</t>
    </r>
  </si>
  <si>
    <t xml:space="preserve">Przychody z oprocentowania osadu na rachunku skonsolidowanym na dzień 26.06.2017 r. </t>
  </si>
  <si>
    <t>Średniomiesięczny osad na rachunku skonsolidowanym wynosi 31.505.000,00 zł</t>
  </si>
  <si>
    <t>Opis sposobu wyliczenia WIBID 1M podanego w pkt. 3.3. stosowanego przez Wykonawcę z podaniem dni i miesięcy, będących podstawą wyliczenia średniej za dany miesiąc na dzień 26.06.2017 r.</t>
  </si>
  <si>
    <t>Oprocentowanie środków na rachunku skonsolidowanym liczone według stawki WIBID 1M, pomnożonej przez wskaźnik podany w pkt 3.4 (który powinien być różny od zera) zaoferowany przez Bank - zaokrąglone do czwartego miejsca po przecinku</t>
  </si>
  <si>
    <t>Wskaźnik zaoferowany przez Bank (różny od zera), przez który zostanie pomnożony WIBID 1M w celu wyliczenia oprocentowania środków na rachunku skonsolidowanym - zaokrąglony do dwóch miejsc po przecinku</t>
  </si>
  <si>
    <t>Wskaźnik zaoferowany przez Bank (różny od zera), przez który zostanie pomnożony WIBID 1M w celu wyliczenia oprocentowania środków na rachunkach nieskonsolidowanych - zaokrąglony do dwóch miejsc po przecinku</t>
  </si>
  <si>
    <t>Oprocentowanie środków na rachunkach nieskonsolidowanych liczone według stawki WIBID 1M pomnożonej przez wskaźnik podany w pkt 4.4 (który powinien być różny od zera) zaoferowany przez Bank - zaokrąglony do czterech miejsc po przecinku</t>
  </si>
  <si>
    <t>Wyliczenie przychodów z oprocentowania osadu na rachunkach nieskonsolidowanych - zaokrąglone do dwóch miejsc po przecinku</t>
  </si>
  <si>
    <t>Wyliczenie przychodów z oprocentowania osadu na rachunku skonsolidowanym - zaokrąglone do dwóch miejsc po przecinku</t>
  </si>
  <si>
    <t>Zryczałtowane koszty obsługi rachunków oraz innych operacji i usług (brutto)</t>
  </si>
  <si>
    <t>Dane do oszacowania wartości obsługi bankowej 
budżetu Miasta Piotrkowa Trybunalskiego oraz jego jednostek działających w formie jednostek budżetowych i instytucji kultury</t>
  </si>
  <si>
    <r>
      <t>5.000.000,00 zł.</t>
    </r>
    <r>
      <rPr>
        <vertAlign val="superscript"/>
        <sz val="12"/>
        <color theme="1"/>
        <rFont val="Arial Narrow"/>
        <family val="2"/>
        <charset val="238"/>
      </rPr>
      <t>*)</t>
    </r>
    <r>
      <rPr>
        <sz val="12"/>
        <color theme="1"/>
        <rFont val="Arial Narrow"/>
        <family val="2"/>
        <charset val="238"/>
      </rPr>
      <t xml:space="preserve"> x (1,66% + marża)</t>
    </r>
  </si>
  <si>
    <t>Realizacja  10 szt. przelewów walutowych przewidywanych do realizacji przez 60 miesięcy</t>
  </si>
  <si>
    <t>Obsługa kasy automatycznej. Szacunkowa kwota  wpłat dokonanych przez Klientów UM za pomocą kasy automatycznej za okres 60 miesięcy wynosi 26.000,00 złotych.</t>
  </si>
  <si>
    <r>
      <t>P</t>
    </r>
    <r>
      <rPr>
        <vertAlign val="subscript"/>
        <sz val="12"/>
        <color theme="1"/>
        <rFont val="Arial Narrow"/>
        <family val="2"/>
        <charset val="238"/>
      </rPr>
      <t>K</t>
    </r>
    <r>
      <rPr>
        <sz val="12"/>
        <color theme="1"/>
        <rFont val="Arial Narrow"/>
        <family val="2"/>
        <charset val="238"/>
      </rPr>
      <t xml:space="preserve"> = 31.505.000,00 zł. x 1,46% x wskaźnik zaoferowany przez Bank x 5 lat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</si>
</sst>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vertAlign val="superscript"/>
      <sz val="12"/>
      <color theme="1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12"/>
      <name val="Arial Narrow"/>
      <family val="2"/>
      <charset val="238"/>
    </font>
    <font>
      <vertAlign val="subscript"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6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9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 vertical="center"/>
    </xf>
    <xf numFmtId="0" fontId="9" fillId="0" borderId="4" xfId="0" applyFont="1" applyBorder="1" applyAlignment="1">
      <alignment vertical="center" wrapText="1"/>
    </xf>
    <xf numFmtId="164" fontId="2" fillId="0" borderId="5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8" fillId="0" borderId="0" xfId="0" applyFont="1" applyAlignment="1">
      <alignment horizontal="center" vertical="center" wrapText="1"/>
    </xf>
    <xf numFmtId="4" fontId="2" fillId="0" borderId="7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9"/>
  <sheetViews>
    <sheetView showZeros="0" topLeftCell="A7" zoomScaleNormal="100" zoomScaleSheetLayoutView="100" workbookViewId="0">
      <selection activeCell="H60" sqref="H60"/>
    </sheetView>
  </sheetViews>
  <sheetFormatPr defaultColWidth="9.140625" defaultRowHeight="15.75" x14ac:dyDescent="0.25"/>
  <cols>
    <col min="1" max="1" width="7.140625" style="1" customWidth="1"/>
    <col min="2" max="2" width="63.140625" style="16" customWidth="1"/>
    <col min="3" max="3" width="25.5703125" style="27" customWidth="1"/>
    <col min="4" max="4" width="3.7109375" style="2" customWidth="1"/>
    <col min="5" max="16384" width="9.140625" style="3"/>
  </cols>
  <sheetData>
    <row r="1" spans="1:4" ht="45" customHeight="1" x14ac:dyDescent="0.25">
      <c r="A1" s="32" t="s">
        <v>89</v>
      </c>
      <c r="B1" s="32"/>
      <c r="C1" s="32"/>
      <c r="D1" s="32"/>
    </row>
    <row r="3" spans="1:4" s="6" customFormat="1" ht="37.9" customHeight="1" x14ac:dyDescent="0.25">
      <c r="A3" s="4" t="s">
        <v>81</v>
      </c>
      <c r="B3" s="5" t="s">
        <v>97</v>
      </c>
      <c r="C3" s="22">
        <f>C8</f>
        <v>0</v>
      </c>
      <c r="D3" s="17" t="s">
        <v>84</v>
      </c>
    </row>
    <row r="4" spans="1:4" ht="30.6" customHeight="1" x14ac:dyDescent="0.25">
      <c r="A4" s="7" t="s">
        <v>0</v>
      </c>
      <c r="B4" s="8" t="s">
        <v>1</v>
      </c>
      <c r="C4" s="23"/>
      <c r="D4" s="18" t="s">
        <v>85</v>
      </c>
    </row>
    <row r="5" spans="1:4" ht="79.900000000000006" customHeight="1" x14ac:dyDescent="0.25">
      <c r="A5" s="7" t="s">
        <v>2</v>
      </c>
      <c r="B5" s="8" t="s">
        <v>69</v>
      </c>
      <c r="C5" s="23"/>
      <c r="D5" s="18"/>
    </row>
    <row r="6" spans="1:4" ht="47.25" x14ac:dyDescent="0.25">
      <c r="A6" s="7" t="s">
        <v>3</v>
      </c>
      <c r="B6" s="8" t="s">
        <v>70</v>
      </c>
      <c r="C6" s="23"/>
      <c r="D6" s="18"/>
    </row>
    <row r="7" spans="1:4" ht="18" customHeight="1" x14ac:dyDescent="0.25">
      <c r="A7" s="9" t="s">
        <v>4</v>
      </c>
      <c r="B7" s="10" t="s">
        <v>5</v>
      </c>
      <c r="C7" s="24"/>
      <c r="D7" s="19"/>
    </row>
    <row r="8" spans="1:4" ht="22.9" customHeight="1" x14ac:dyDescent="0.25">
      <c r="A8" s="11"/>
      <c r="B8" s="12" t="s">
        <v>77</v>
      </c>
      <c r="C8" s="25">
        <f>IF(C6="",0,5000000*(1.66+C6)%)</f>
        <v>0</v>
      </c>
      <c r="D8" s="20" t="s">
        <v>84</v>
      </c>
    </row>
    <row r="9" spans="1:4" ht="30" x14ac:dyDescent="0.25">
      <c r="A9" s="13"/>
      <c r="B9" s="28" t="s">
        <v>96</v>
      </c>
      <c r="C9" s="26"/>
      <c r="D9" s="21"/>
    </row>
    <row r="10" spans="1:4" s="6" customFormat="1" ht="36.6" customHeight="1" x14ac:dyDescent="0.25">
      <c r="A10" s="4" t="s">
        <v>82</v>
      </c>
      <c r="B10" s="5" t="s">
        <v>98</v>
      </c>
      <c r="C10" s="22">
        <f>+C12+C14+C16+C18+C20+C22+C24</f>
        <v>2068380</v>
      </c>
      <c r="D10" s="17" t="s">
        <v>84</v>
      </c>
    </row>
    <row r="11" spans="1:4" ht="30" customHeight="1" x14ac:dyDescent="0.25">
      <c r="A11" s="7" t="s">
        <v>6</v>
      </c>
      <c r="B11" s="8" t="s">
        <v>7</v>
      </c>
      <c r="C11" s="23">
        <v>1</v>
      </c>
      <c r="D11" s="18" t="s">
        <v>84</v>
      </c>
    </row>
    <row r="12" spans="1:4" ht="28.9" customHeight="1" x14ac:dyDescent="0.25">
      <c r="A12" s="7" t="s">
        <v>8</v>
      </c>
      <c r="B12" s="8" t="s">
        <v>62</v>
      </c>
      <c r="C12" s="23">
        <f>+C11*260*60</f>
        <v>15600</v>
      </c>
      <c r="D12" s="18" t="s">
        <v>84</v>
      </c>
    </row>
    <row r="13" spans="1:4" ht="31.5" x14ac:dyDescent="0.25">
      <c r="A13" s="7" t="s">
        <v>9</v>
      </c>
      <c r="B13" s="8" t="s">
        <v>90</v>
      </c>
      <c r="C13" s="23">
        <v>1</v>
      </c>
      <c r="D13" s="18" t="s">
        <v>84</v>
      </c>
    </row>
    <row r="14" spans="1:4" ht="25.15" customHeight="1" x14ac:dyDescent="0.25">
      <c r="A14" s="7" t="s">
        <v>10</v>
      </c>
      <c r="B14" s="8" t="s">
        <v>71</v>
      </c>
      <c r="C14" s="23">
        <f>197*C13*60</f>
        <v>11820</v>
      </c>
      <c r="D14" s="18" t="s">
        <v>84</v>
      </c>
    </row>
    <row r="15" spans="1:4" ht="31.5" x14ac:dyDescent="0.25">
      <c r="A15" s="7" t="s">
        <v>11</v>
      </c>
      <c r="B15" s="8" t="s">
        <v>91</v>
      </c>
      <c r="C15" s="23">
        <v>1</v>
      </c>
      <c r="D15" s="18" t="s">
        <v>84</v>
      </c>
    </row>
    <row r="16" spans="1:4" ht="31.5" x14ac:dyDescent="0.25">
      <c r="A16" s="7" t="s">
        <v>12</v>
      </c>
      <c r="B16" s="8" t="s">
        <v>17</v>
      </c>
      <c r="C16" s="23">
        <f>1745*C15*60</f>
        <v>104700</v>
      </c>
      <c r="D16" s="18" t="s">
        <v>84</v>
      </c>
    </row>
    <row r="17" spans="1:4" ht="31.5" x14ac:dyDescent="0.25">
      <c r="A17" s="7" t="s">
        <v>13</v>
      </c>
      <c r="B17" s="8" t="s">
        <v>14</v>
      </c>
      <c r="C17" s="23">
        <v>1</v>
      </c>
      <c r="D17" s="18" t="s">
        <v>84</v>
      </c>
    </row>
    <row r="18" spans="1:4" ht="31.5" x14ac:dyDescent="0.25">
      <c r="A18" s="7" t="s">
        <v>15</v>
      </c>
      <c r="B18" s="8" t="s">
        <v>16</v>
      </c>
      <c r="C18" s="23">
        <f>32100*1*60</f>
        <v>1926000</v>
      </c>
      <c r="D18" s="18" t="s">
        <v>84</v>
      </c>
    </row>
    <row r="19" spans="1:4" ht="27.6" customHeight="1" x14ac:dyDescent="0.25">
      <c r="A19" s="7" t="s">
        <v>18</v>
      </c>
      <c r="B19" s="8" t="s">
        <v>19</v>
      </c>
      <c r="C19" s="23">
        <v>1</v>
      </c>
      <c r="D19" s="18" t="s">
        <v>84</v>
      </c>
    </row>
    <row r="20" spans="1:4" ht="31.5" x14ac:dyDescent="0.25">
      <c r="A20" s="7" t="s">
        <v>20</v>
      </c>
      <c r="B20" s="8" t="s">
        <v>92</v>
      </c>
      <c r="C20" s="23">
        <f>+C19*1*60</f>
        <v>60</v>
      </c>
      <c r="D20" s="18" t="s">
        <v>84</v>
      </c>
    </row>
    <row r="21" spans="1:4" ht="31.5" x14ac:dyDescent="0.25">
      <c r="A21" s="7" t="s">
        <v>21</v>
      </c>
      <c r="B21" s="8" t="s">
        <v>93</v>
      </c>
      <c r="C21" s="23">
        <v>1</v>
      </c>
      <c r="D21" s="18" t="s">
        <v>84</v>
      </c>
    </row>
    <row r="22" spans="1:4" ht="47.25" x14ac:dyDescent="0.25">
      <c r="A22" s="7" t="s">
        <v>22</v>
      </c>
      <c r="B22" s="8" t="s">
        <v>63</v>
      </c>
      <c r="C22" s="23">
        <f>+C21*160*60</f>
        <v>9600</v>
      </c>
      <c r="D22" s="18" t="s">
        <v>84</v>
      </c>
    </row>
    <row r="23" spans="1:4" ht="31.5" x14ac:dyDescent="0.25">
      <c r="A23" s="7" t="s">
        <v>23</v>
      </c>
      <c r="B23" s="8" t="s">
        <v>64</v>
      </c>
      <c r="C23" s="23">
        <v>10</v>
      </c>
      <c r="D23" s="18" t="s">
        <v>84</v>
      </c>
    </row>
    <row r="24" spans="1:4" ht="31.5" x14ac:dyDescent="0.25">
      <c r="A24" s="7" t="s">
        <v>25</v>
      </c>
      <c r="B24" s="8" t="s">
        <v>24</v>
      </c>
      <c r="C24" s="23">
        <f>60*C23</f>
        <v>600</v>
      </c>
      <c r="D24" s="18" t="s">
        <v>84</v>
      </c>
    </row>
    <row r="25" spans="1:4" s="6" customFormat="1" ht="36" customHeight="1" x14ac:dyDescent="0.25">
      <c r="A25" s="4" t="s">
        <v>26</v>
      </c>
      <c r="B25" s="5" t="s">
        <v>104</v>
      </c>
      <c r="C25" s="22">
        <f>+C26+C28+C29+C31+C35+C34</f>
        <v>48860</v>
      </c>
      <c r="D25" s="17" t="s">
        <v>84</v>
      </c>
    </row>
    <row r="26" spans="1:4" ht="48.75" x14ac:dyDescent="0.25">
      <c r="A26" s="7" t="s">
        <v>27</v>
      </c>
      <c r="B26" s="8" t="s">
        <v>100</v>
      </c>
      <c r="C26" s="23">
        <v>100</v>
      </c>
      <c r="D26" s="19" t="s">
        <v>84</v>
      </c>
    </row>
    <row r="27" spans="1:4" ht="48" customHeight="1" x14ac:dyDescent="0.25">
      <c r="A27" s="7" t="s">
        <v>28</v>
      </c>
      <c r="B27" s="8" t="s">
        <v>29</v>
      </c>
      <c r="C27" s="23">
        <v>0.5</v>
      </c>
      <c r="D27" s="18" t="s">
        <v>85</v>
      </c>
    </row>
    <row r="28" spans="1:4" ht="47.25" x14ac:dyDescent="0.25">
      <c r="A28" s="7" t="s">
        <v>30</v>
      </c>
      <c r="B28" s="8" t="s">
        <v>78</v>
      </c>
      <c r="C28" s="23">
        <f>9000000*C27%</f>
        <v>45000</v>
      </c>
      <c r="D28" s="18" t="s">
        <v>84</v>
      </c>
    </row>
    <row r="29" spans="1:4" ht="35.450000000000003" customHeight="1" x14ac:dyDescent="0.25">
      <c r="A29" s="7" t="s">
        <v>31</v>
      </c>
      <c r="B29" s="8" t="s">
        <v>32</v>
      </c>
      <c r="C29" s="23">
        <v>1000</v>
      </c>
      <c r="D29" s="18" t="s">
        <v>84</v>
      </c>
    </row>
    <row r="30" spans="1:4" ht="47.25" x14ac:dyDescent="0.25">
      <c r="A30" s="7" t="s">
        <v>33</v>
      </c>
      <c r="B30" s="8" t="s">
        <v>34</v>
      </c>
      <c r="C30" s="23">
        <v>1</v>
      </c>
      <c r="D30" s="18" t="s">
        <v>85</v>
      </c>
    </row>
    <row r="31" spans="1:4" ht="47.25" x14ac:dyDescent="0.25">
      <c r="A31" s="7" t="s">
        <v>35</v>
      </c>
      <c r="B31" s="8" t="s">
        <v>36</v>
      </c>
      <c r="C31" s="23">
        <f>26000*C30%</f>
        <v>260</v>
      </c>
      <c r="D31" s="18" t="s">
        <v>84</v>
      </c>
    </row>
    <row r="32" spans="1:4" ht="31.5" x14ac:dyDescent="0.25">
      <c r="A32" s="7" t="s">
        <v>37</v>
      </c>
      <c r="B32" s="8" t="s">
        <v>65</v>
      </c>
      <c r="C32" s="23">
        <v>2000</v>
      </c>
      <c r="D32" s="18" t="s">
        <v>101</v>
      </c>
    </row>
    <row r="33" spans="1:5" ht="27" customHeight="1" x14ac:dyDescent="0.25">
      <c r="A33" s="7" t="s">
        <v>38</v>
      </c>
      <c r="B33" s="8" t="s">
        <v>72</v>
      </c>
      <c r="C33" s="23">
        <v>1</v>
      </c>
      <c r="D33" s="18" t="s">
        <v>84</v>
      </c>
    </row>
    <row r="34" spans="1:5" ht="27" customHeight="1" x14ac:dyDescent="0.25">
      <c r="A34" s="7" t="s">
        <v>39</v>
      </c>
      <c r="B34" s="8" t="s">
        <v>103</v>
      </c>
      <c r="C34" s="23">
        <v>500</v>
      </c>
      <c r="D34" s="18" t="s">
        <v>84</v>
      </c>
    </row>
    <row r="35" spans="1:5" ht="27.6" customHeight="1" x14ac:dyDescent="0.25">
      <c r="A35" s="7" t="s">
        <v>102</v>
      </c>
      <c r="B35" s="8" t="s">
        <v>73</v>
      </c>
      <c r="C35" s="23">
        <f>+C32*C33</f>
        <v>2000</v>
      </c>
      <c r="D35" s="18" t="s">
        <v>84</v>
      </c>
    </row>
    <row r="36" spans="1:5" s="6" customFormat="1" ht="32.450000000000003" customHeight="1" x14ac:dyDescent="0.25">
      <c r="A36" s="4" t="s">
        <v>40</v>
      </c>
      <c r="B36" s="5" t="s">
        <v>87</v>
      </c>
      <c r="C36" s="22">
        <f>+C44</f>
        <v>2069878.5</v>
      </c>
      <c r="D36" s="17" t="s">
        <v>84</v>
      </c>
    </row>
    <row r="37" spans="1:5" ht="31.9" customHeight="1" x14ac:dyDescent="0.25">
      <c r="A37" s="7" t="s">
        <v>41</v>
      </c>
      <c r="B37" s="8" t="s">
        <v>94</v>
      </c>
      <c r="C37" s="23"/>
      <c r="D37" s="18"/>
    </row>
    <row r="38" spans="1:5" ht="47.25" x14ac:dyDescent="0.25">
      <c r="A38" s="7" t="s">
        <v>42</v>
      </c>
      <c r="B38" s="8" t="s">
        <v>43</v>
      </c>
      <c r="C38" s="23"/>
      <c r="D38" s="18"/>
    </row>
    <row r="39" spans="1:5" ht="37.15" customHeight="1" x14ac:dyDescent="0.25">
      <c r="A39" s="7" t="s">
        <v>44</v>
      </c>
      <c r="B39" s="8" t="s">
        <v>79</v>
      </c>
      <c r="C39" s="23"/>
      <c r="D39" s="18" t="s">
        <v>85</v>
      </c>
    </row>
    <row r="40" spans="1:5" ht="98.45" customHeight="1" x14ac:dyDescent="0.25">
      <c r="A40" s="7" t="s">
        <v>46</v>
      </c>
      <c r="B40" s="8" t="s">
        <v>95</v>
      </c>
      <c r="C40" s="23"/>
      <c r="D40" s="18"/>
    </row>
    <row r="41" spans="1:5" ht="43.15" customHeight="1" x14ac:dyDescent="0.25">
      <c r="A41" s="7" t="s">
        <v>45</v>
      </c>
      <c r="B41" s="8" t="s">
        <v>66</v>
      </c>
      <c r="C41" s="23">
        <v>0.9</v>
      </c>
      <c r="D41" s="18"/>
    </row>
    <row r="42" spans="1:5" ht="47.25" x14ac:dyDescent="0.25">
      <c r="A42" s="7" t="s">
        <v>47</v>
      </c>
      <c r="B42" s="8" t="s">
        <v>74</v>
      </c>
      <c r="C42" s="23">
        <f>+C39*C41</f>
        <v>0</v>
      </c>
      <c r="D42" s="18" t="s">
        <v>85</v>
      </c>
      <c r="E42" s="3" t="s">
        <v>99</v>
      </c>
    </row>
    <row r="43" spans="1:5" ht="31.5" x14ac:dyDescent="0.25">
      <c r="A43" s="9" t="s">
        <v>67</v>
      </c>
      <c r="B43" s="10" t="s">
        <v>48</v>
      </c>
      <c r="C43" s="24"/>
      <c r="D43" s="19"/>
    </row>
    <row r="44" spans="1:5" ht="34.5" x14ac:dyDescent="0.25">
      <c r="A44" s="13"/>
      <c r="B44" s="14" t="s">
        <v>80</v>
      </c>
      <c r="C44" s="26">
        <f>31505000*ROUND(1.46*C41,3)%*5</f>
        <v>2069878.5</v>
      </c>
      <c r="D44" s="21" t="s">
        <v>84</v>
      </c>
    </row>
    <row r="45" spans="1:5" s="6" customFormat="1" ht="37.9" customHeight="1" x14ac:dyDescent="0.25">
      <c r="A45" s="4" t="s">
        <v>49</v>
      </c>
      <c r="B45" s="5" t="s">
        <v>50</v>
      </c>
      <c r="C45" s="22">
        <f>+C53</f>
        <v>271116</v>
      </c>
      <c r="D45" s="17" t="s">
        <v>84</v>
      </c>
    </row>
    <row r="46" spans="1:5" ht="31.9" customHeight="1" x14ac:dyDescent="0.25">
      <c r="A46" s="7" t="s">
        <v>51</v>
      </c>
      <c r="B46" s="8" t="s">
        <v>52</v>
      </c>
      <c r="C46" s="23"/>
      <c r="D46" s="18"/>
    </row>
    <row r="47" spans="1:5" ht="47.25" x14ac:dyDescent="0.25">
      <c r="A47" s="7" t="s">
        <v>53</v>
      </c>
      <c r="B47" s="8" t="s">
        <v>61</v>
      </c>
      <c r="C47" s="23"/>
      <c r="D47" s="18"/>
    </row>
    <row r="48" spans="1:5" ht="34.15" customHeight="1" x14ac:dyDescent="0.25">
      <c r="A48" s="7" t="s">
        <v>54</v>
      </c>
      <c r="B48" s="8" t="s">
        <v>79</v>
      </c>
      <c r="C48" s="23"/>
      <c r="D48" s="18" t="s">
        <v>85</v>
      </c>
    </row>
    <row r="49" spans="1:5" ht="79.5" customHeight="1" x14ac:dyDescent="0.25">
      <c r="A49" s="7" t="s">
        <v>55</v>
      </c>
      <c r="B49" s="8" t="s">
        <v>88</v>
      </c>
      <c r="C49" s="23"/>
      <c r="D49" s="18"/>
    </row>
    <row r="50" spans="1:5" ht="46.5" customHeight="1" x14ac:dyDescent="0.25">
      <c r="A50" s="7" t="s">
        <v>56</v>
      </c>
      <c r="B50" s="8" t="s">
        <v>68</v>
      </c>
      <c r="C50" s="23">
        <v>0.91</v>
      </c>
      <c r="D50" s="18"/>
    </row>
    <row r="51" spans="1:5" ht="57" customHeight="1" x14ac:dyDescent="0.25">
      <c r="A51" s="7" t="s">
        <v>57</v>
      </c>
      <c r="B51" s="8" t="s">
        <v>75</v>
      </c>
      <c r="C51" s="29">
        <f>ROUND(C48*C50,3)</f>
        <v>0</v>
      </c>
      <c r="D51" s="18" t="s">
        <v>85</v>
      </c>
      <c r="E51" s="3" t="s">
        <v>99</v>
      </c>
    </row>
    <row r="52" spans="1:5" ht="31.5" x14ac:dyDescent="0.25">
      <c r="A52" s="9" t="s">
        <v>83</v>
      </c>
      <c r="B52" s="10" t="s">
        <v>58</v>
      </c>
      <c r="C52" s="24"/>
      <c r="D52" s="19"/>
    </row>
    <row r="53" spans="1:5" ht="34.5" x14ac:dyDescent="0.25">
      <c r="A53" s="13"/>
      <c r="B53" s="14" t="s">
        <v>105</v>
      </c>
      <c r="C53" s="26">
        <f>4080000*ROUND(1.46*C50,3)%*5</f>
        <v>271116</v>
      </c>
      <c r="D53" s="21" t="s">
        <v>84</v>
      </c>
    </row>
    <row r="54" spans="1:5" s="6" customFormat="1" ht="37.9" customHeight="1" x14ac:dyDescent="0.25">
      <c r="A54" s="4" t="s">
        <v>59</v>
      </c>
      <c r="B54" s="5" t="s">
        <v>108</v>
      </c>
      <c r="C54" s="22">
        <f>+C3+C10+C25-C36-C45</f>
        <v>-223754.5</v>
      </c>
      <c r="D54" s="17" t="s">
        <v>84</v>
      </c>
    </row>
    <row r="55" spans="1:5" ht="21" customHeight="1" x14ac:dyDescent="0.25">
      <c r="A55" s="9"/>
      <c r="B55" s="15" t="s">
        <v>60</v>
      </c>
      <c r="C55" s="24"/>
      <c r="D55" s="19"/>
    </row>
    <row r="56" spans="1:5" ht="47.45" customHeight="1" x14ac:dyDescent="0.25">
      <c r="A56" s="11"/>
      <c r="B56" s="12" t="s">
        <v>86</v>
      </c>
      <c r="C56" s="25"/>
      <c r="D56" s="20"/>
    </row>
    <row r="57" spans="1:5" ht="24" customHeight="1" x14ac:dyDescent="0.25">
      <c r="A57" s="11"/>
      <c r="B57" s="12" t="s">
        <v>76</v>
      </c>
      <c r="C57" s="25"/>
      <c r="D57" s="20"/>
    </row>
    <row r="58" spans="1:5" ht="17.25" customHeight="1" x14ac:dyDescent="0.25">
      <c r="A58" s="11"/>
      <c r="B58" s="12" t="s">
        <v>106</v>
      </c>
      <c r="C58" s="25"/>
      <c r="D58" s="20"/>
    </row>
    <row r="59" spans="1:5" ht="17.25" customHeight="1" x14ac:dyDescent="0.25">
      <c r="A59" s="13"/>
      <c r="B59" s="14" t="s">
        <v>107</v>
      </c>
      <c r="C59" s="26"/>
      <c r="D59" s="21"/>
    </row>
  </sheetData>
  <mergeCells count="1">
    <mergeCell ref="A1:D1"/>
  </mergeCells>
  <pageMargins left="0.6692913385826772" right="0.23622047244094491" top="0.74803149606299213" bottom="0.74803149606299213" header="0.31496062992125984" footer="0.31496062992125984"/>
  <pageSetup paperSize="9" scale="79" fitToHeight="0" orientation="portrait" horizontalDpi="4294967294" verticalDpi="4294967294" r:id="rId1"/>
  <headerFooter>
    <oddFooter>&amp;CStrona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showZeros="0" tabSelected="1" view="pageLayout" topLeftCell="A28" zoomScaleNormal="100" zoomScaleSheetLayoutView="100" workbookViewId="0">
      <selection activeCell="C5" sqref="C5"/>
    </sheetView>
  </sheetViews>
  <sheetFormatPr defaultColWidth="9.140625" defaultRowHeight="15.75" x14ac:dyDescent="0.25"/>
  <cols>
    <col min="1" max="1" width="7.140625" style="1" customWidth="1"/>
    <col min="2" max="2" width="63.140625" style="16" customWidth="1"/>
    <col min="3" max="3" width="25.5703125" style="27" customWidth="1"/>
    <col min="4" max="4" width="3.7109375" style="2" customWidth="1"/>
    <col min="5" max="16384" width="9.140625" style="3"/>
  </cols>
  <sheetData>
    <row r="1" spans="1:4" ht="55.15" customHeight="1" x14ac:dyDescent="0.25">
      <c r="A1" s="32" t="s">
        <v>133</v>
      </c>
      <c r="B1" s="32"/>
      <c r="C1" s="32"/>
      <c r="D1" s="32"/>
    </row>
    <row r="3" spans="1:4" s="6" customFormat="1" ht="37.9" customHeight="1" x14ac:dyDescent="0.25">
      <c r="A3" s="4" t="s">
        <v>81</v>
      </c>
      <c r="B3" s="5" t="s">
        <v>119</v>
      </c>
      <c r="C3" s="22">
        <f>C8</f>
        <v>0</v>
      </c>
      <c r="D3" s="17" t="s">
        <v>84</v>
      </c>
    </row>
    <row r="4" spans="1:4" ht="30.6" customHeight="1" x14ac:dyDescent="0.25">
      <c r="A4" s="7" t="s">
        <v>0</v>
      </c>
      <c r="B4" s="8" t="s">
        <v>1</v>
      </c>
      <c r="C4" s="23"/>
      <c r="D4" s="18" t="s">
        <v>85</v>
      </c>
    </row>
    <row r="5" spans="1:4" ht="79.900000000000006" customHeight="1" x14ac:dyDescent="0.25">
      <c r="A5" s="7" t="s">
        <v>2</v>
      </c>
      <c r="B5" s="8" t="s">
        <v>69</v>
      </c>
      <c r="C5" s="23"/>
      <c r="D5" s="18"/>
    </row>
    <row r="6" spans="1:4" ht="47.25" x14ac:dyDescent="0.25">
      <c r="A6" s="7" t="s">
        <v>3</v>
      </c>
      <c r="B6" s="8" t="s">
        <v>70</v>
      </c>
      <c r="C6" s="23"/>
      <c r="D6" s="18"/>
    </row>
    <row r="7" spans="1:4" ht="18" customHeight="1" x14ac:dyDescent="0.25">
      <c r="A7" s="9" t="s">
        <v>4</v>
      </c>
      <c r="B7" s="10" t="s">
        <v>5</v>
      </c>
      <c r="C7" s="24"/>
      <c r="D7" s="19"/>
    </row>
    <row r="8" spans="1:4" ht="22.9" customHeight="1" x14ac:dyDescent="0.25">
      <c r="A8" s="11"/>
      <c r="B8" s="12" t="s">
        <v>134</v>
      </c>
      <c r="C8" s="25">
        <f>IF(C6="",0,5000000*(1.66+C6)%)</f>
        <v>0</v>
      </c>
      <c r="D8" s="20" t="s">
        <v>84</v>
      </c>
    </row>
    <row r="9" spans="1:4" ht="30" x14ac:dyDescent="0.25">
      <c r="A9" s="13"/>
      <c r="B9" s="28" t="s">
        <v>96</v>
      </c>
      <c r="C9" s="26"/>
      <c r="D9" s="21"/>
    </row>
    <row r="10" spans="1:4" s="6" customFormat="1" ht="36.6" customHeight="1" x14ac:dyDescent="0.25">
      <c r="A10" s="4" t="s">
        <v>82</v>
      </c>
      <c r="B10" s="5" t="s">
        <v>132</v>
      </c>
      <c r="C10" s="22"/>
      <c r="D10" s="17" t="s">
        <v>84</v>
      </c>
    </row>
    <row r="11" spans="1:4" ht="28.9" customHeight="1" x14ac:dyDescent="0.25">
      <c r="A11" s="7" t="s">
        <v>6</v>
      </c>
      <c r="B11" s="8" t="s">
        <v>110</v>
      </c>
      <c r="C11" s="33"/>
      <c r="D11" s="34"/>
    </row>
    <row r="12" spans="1:4" ht="33" customHeight="1" x14ac:dyDescent="0.25">
      <c r="A12" s="7" t="s">
        <v>8</v>
      </c>
      <c r="B12" s="8" t="s">
        <v>109</v>
      </c>
      <c r="C12" s="35"/>
      <c r="D12" s="36"/>
    </row>
    <row r="13" spans="1:4" ht="31.5" x14ac:dyDescent="0.25">
      <c r="A13" s="7" t="s">
        <v>9</v>
      </c>
      <c r="B13" s="8" t="s">
        <v>117</v>
      </c>
      <c r="C13" s="35"/>
      <c r="D13" s="36"/>
    </row>
    <row r="14" spans="1:4" ht="31.5" x14ac:dyDescent="0.25">
      <c r="A14" s="7" t="s">
        <v>10</v>
      </c>
      <c r="B14" s="8" t="s">
        <v>111</v>
      </c>
      <c r="C14" s="35"/>
      <c r="D14" s="36"/>
    </row>
    <row r="15" spans="1:4" ht="31.5" x14ac:dyDescent="0.25">
      <c r="A15" s="7" t="s">
        <v>11</v>
      </c>
      <c r="B15" s="8" t="s">
        <v>135</v>
      </c>
      <c r="C15" s="35"/>
      <c r="D15" s="36"/>
    </row>
    <row r="16" spans="1:4" ht="31.5" x14ac:dyDescent="0.25">
      <c r="A16" s="7" t="s">
        <v>12</v>
      </c>
      <c r="B16" s="8" t="s">
        <v>113</v>
      </c>
      <c r="C16" s="35"/>
      <c r="D16" s="36"/>
    </row>
    <row r="17" spans="1:4" ht="31.5" x14ac:dyDescent="0.25">
      <c r="A17" s="7" t="s">
        <v>13</v>
      </c>
      <c r="B17" s="8" t="s">
        <v>112</v>
      </c>
      <c r="C17" s="35"/>
      <c r="D17" s="36"/>
    </row>
    <row r="18" spans="1:4" ht="81" x14ac:dyDescent="0.25">
      <c r="A18" s="7" t="s">
        <v>15</v>
      </c>
      <c r="B18" s="8" t="s">
        <v>122</v>
      </c>
      <c r="C18" s="35"/>
      <c r="D18" s="36"/>
    </row>
    <row r="19" spans="1:4" ht="47.25" x14ac:dyDescent="0.25">
      <c r="A19" s="7" t="s">
        <v>18</v>
      </c>
      <c r="B19" s="30" t="s">
        <v>136</v>
      </c>
      <c r="C19" s="35"/>
      <c r="D19" s="36"/>
    </row>
    <row r="20" spans="1:4" ht="27" customHeight="1" x14ac:dyDescent="0.25">
      <c r="A20" s="7" t="s">
        <v>20</v>
      </c>
      <c r="B20" s="8" t="s">
        <v>114</v>
      </c>
      <c r="C20" s="35"/>
      <c r="D20" s="36"/>
    </row>
    <row r="21" spans="1:4" ht="29.25" customHeight="1" x14ac:dyDescent="0.25">
      <c r="A21" s="7" t="s">
        <v>21</v>
      </c>
      <c r="B21" s="8" t="s">
        <v>115</v>
      </c>
      <c r="C21" s="37"/>
      <c r="D21" s="38"/>
    </row>
    <row r="22" spans="1:4" s="6" customFormat="1" ht="32.450000000000003" customHeight="1" x14ac:dyDescent="0.25">
      <c r="A22" s="4" t="s">
        <v>26</v>
      </c>
      <c r="B22" s="5" t="s">
        <v>123</v>
      </c>
      <c r="C22" s="22">
        <f>+C30</f>
        <v>0</v>
      </c>
      <c r="D22" s="17" t="s">
        <v>84</v>
      </c>
    </row>
    <row r="23" spans="1:4" ht="31.9" customHeight="1" x14ac:dyDescent="0.25">
      <c r="A23" s="7" t="s">
        <v>27</v>
      </c>
      <c r="B23" s="8" t="s">
        <v>124</v>
      </c>
      <c r="C23" s="23"/>
      <c r="D23" s="18"/>
    </row>
    <row r="24" spans="1:4" ht="47.25" x14ac:dyDescent="0.25">
      <c r="A24" s="7" t="s">
        <v>28</v>
      </c>
      <c r="B24" s="8" t="s">
        <v>43</v>
      </c>
      <c r="C24" s="23"/>
      <c r="D24" s="18"/>
    </row>
    <row r="25" spans="1:4" ht="37.15" customHeight="1" x14ac:dyDescent="0.25">
      <c r="A25" s="7" t="s">
        <v>30</v>
      </c>
      <c r="B25" s="8" t="s">
        <v>79</v>
      </c>
      <c r="C25" s="23"/>
      <c r="D25" s="18" t="s">
        <v>85</v>
      </c>
    </row>
    <row r="26" spans="1:4" ht="116.45" customHeight="1" x14ac:dyDescent="0.25">
      <c r="A26" s="7" t="s">
        <v>116</v>
      </c>
      <c r="B26" s="31" t="s">
        <v>125</v>
      </c>
      <c r="C26" s="23"/>
      <c r="D26" s="18"/>
    </row>
    <row r="27" spans="1:4" ht="48" customHeight="1" x14ac:dyDescent="0.25">
      <c r="A27" s="7" t="s">
        <v>31</v>
      </c>
      <c r="B27" s="8" t="s">
        <v>127</v>
      </c>
      <c r="C27" s="23"/>
      <c r="D27" s="18"/>
    </row>
    <row r="28" spans="1:4" ht="63" x14ac:dyDescent="0.25">
      <c r="A28" s="7" t="s">
        <v>33</v>
      </c>
      <c r="B28" s="8" t="s">
        <v>126</v>
      </c>
      <c r="C28" s="23">
        <f>+C25*C27</f>
        <v>0</v>
      </c>
      <c r="D28" s="18" t="s">
        <v>85</v>
      </c>
    </row>
    <row r="29" spans="1:4" ht="37.15" customHeight="1" x14ac:dyDescent="0.25">
      <c r="A29" s="9" t="s">
        <v>35</v>
      </c>
      <c r="B29" s="10" t="s">
        <v>131</v>
      </c>
      <c r="C29" s="24"/>
      <c r="D29" s="19"/>
    </row>
    <row r="30" spans="1:4" ht="34.5" x14ac:dyDescent="0.25">
      <c r="A30" s="13"/>
      <c r="B30" s="14" t="s">
        <v>137</v>
      </c>
      <c r="C30" s="26">
        <f>31505000*ROUND(1.46*C27,3)%*5</f>
        <v>0</v>
      </c>
      <c r="D30" s="21" t="s">
        <v>84</v>
      </c>
    </row>
    <row r="31" spans="1:4" s="6" customFormat="1" ht="37.9" customHeight="1" x14ac:dyDescent="0.25">
      <c r="A31" s="4" t="s">
        <v>40</v>
      </c>
      <c r="B31" s="5" t="s">
        <v>121</v>
      </c>
      <c r="C31" s="22">
        <f>+C39</f>
        <v>0</v>
      </c>
      <c r="D31" s="17" t="s">
        <v>84</v>
      </c>
    </row>
    <row r="32" spans="1:4" ht="31.9" customHeight="1" x14ac:dyDescent="0.25">
      <c r="A32" s="7" t="s">
        <v>41</v>
      </c>
      <c r="B32" s="8" t="s">
        <v>52</v>
      </c>
      <c r="C32" s="23"/>
      <c r="D32" s="18"/>
    </row>
    <row r="33" spans="1:4" ht="47.25" x14ac:dyDescent="0.25">
      <c r="A33" s="7" t="s">
        <v>42</v>
      </c>
      <c r="B33" s="8" t="s">
        <v>61</v>
      </c>
      <c r="C33" s="23"/>
      <c r="D33" s="18"/>
    </row>
    <row r="34" spans="1:4" ht="34.15" customHeight="1" x14ac:dyDescent="0.25">
      <c r="A34" s="7" t="s">
        <v>44</v>
      </c>
      <c r="B34" s="8" t="s">
        <v>79</v>
      </c>
      <c r="C34" s="23"/>
      <c r="D34" s="18" t="s">
        <v>85</v>
      </c>
    </row>
    <row r="35" spans="1:4" ht="89.45" customHeight="1" x14ac:dyDescent="0.25">
      <c r="A35" s="7" t="s">
        <v>46</v>
      </c>
      <c r="B35" s="31" t="s">
        <v>120</v>
      </c>
      <c r="C35" s="23"/>
      <c r="D35" s="18"/>
    </row>
    <row r="36" spans="1:4" ht="62.45" customHeight="1" x14ac:dyDescent="0.25">
      <c r="A36" s="7" t="s">
        <v>45</v>
      </c>
      <c r="B36" s="8" t="s">
        <v>128</v>
      </c>
      <c r="C36" s="23"/>
      <c r="D36" s="18"/>
    </row>
    <row r="37" spans="1:4" ht="66.599999999999994" customHeight="1" x14ac:dyDescent="0.25">
      <c r="A37" s="7" t="s">
        <v>47</v>
      </c>
      <c r="B37" s="8" t="s">
        <v>129</v>
      </c>
      <c r="C37" s="29">
        <f>ROUND(C34*C36,3)</f>
        <v>0</v>
      </c>
      <c r="D37" s="18" t="s">
        <v>85</v>
      </c>
    </row>
    <row r="38" spans="1:4" ht="31.5" x14ac:dyDescent="0.25">
      <c r="A38" s="9" t="s">
        <v>67</v>
      </c>
      <c r="B38" s="10" t="s">
        <v>130</v>
      </c>
      <c r="C38" s="24"/>
      <c r="D38" s="19"/>
    </row>
    <row r="39" spans="1:4" ht="23.45" customHeight="1" x14ac:dyDescent="0.25">
      <c r="A39" s="13"/>
      <c r="B39" s="14" t="s">
        <v>105</v>
      </c>
      <c r="C39" s="26">
        <f>4080000*ROUND(1.46*C36,3)%*5</f>
        <v>0</v>
      </c>
      <c r="D39" s="21" t="s">
        <v>84</v>
      </c>
    </row>
    <row r="40" spans="1:4" s="6" customFormat="1" ht="37.9" customHeight="1" x14ac:dyDescent="0.25">
      <c r="A40" s="4" t="s">
        <v>49</v>
      </c>
      <c r="B40" s="5" t="s">
        <v>118</v>
      </c>
      <c r="C40" s="22"/>
      <c r="D40" s="17" t="s">
        <v>84</v>
      </c>
    </row>
    <row r="41" spans="1:4" ht="21" customHeight="1" x14ac:dyDescent="0.25">
      <c r="A41" s="9"/>
      <c r="B41" s="15" t="s">
        <v>60</v>
      </c>
      <c r="C41" s="24"/>
      <c r="D41" s="19"/>
    </row>
    <row r="42" spans="1:4" ht="47.45" customHeight="1" x14ac:dyDescent="0.25">
      <c r="A42" s="11"/>
      <c r="B42" s="12" t="s">
        <v>86</v>
      </c>
      <c r="C42" s="25"/>
      <c r="D42" s="20"/>
    </row>
    <row r="43" spans="1:4" ht="24" customHeight="1" x14ac:dyDescent="0.25">
      <c r="A43" s="11"/>
      <c r="B43" s="12" t="s">
        <v>76</v>
      </c>
      <c r="C43" s="25"/>
      <c r="D43" s="20"/>
    </row>
    <row r="44" spans="1:4" ht="17.25" customHeight="1" x14ac:dyDescent="0.25">
      <c r="A44" s="11"/>
      <c r="B44" s="12" t="s">
        <v>106</v>
      </c>
      <c r="C44" s="25"/>
      <c r="D44" s="20"/>
    </row>
    <row r="45" spans="1:4" ht="17.25" customHeight="1" x14ac:dyDescent="0.25">
      <c r="A45" s="13"/>
      <c r="B45" s="14" t="s">
        <v>107</v>
      </c>
      <c r="C45" s="26"/>
      <c r="D45" s="21"/>
    </row>
  </sheetData>
  <mergeCells count="2">
    <mergeCell ref="A1:D1"/>
    <mergeCell ref="C11:D21"/>
  </mergeCells>
  <pageMargins left="0.6692913385826772" right="0.23622047244094491" top="0.74803149606299213" bottom="0.74803149606299213" header="0.31496062992125984" footer="0.31496062992125984"/>
  <pageSetup paperSize="9" scale="94" fitToHeight="0" orientation="portrait" horizontalDpi="4294967294" verticalDpi="4294967294" r:id="rId1"/>
  <headerFooter>
    <oddHeader>&amp;Rzałącznik nr 1 do formularza oferty</oddHeader>
    <oddFooter>&amp;CStrona &amp;P z &amp;N</oddFooter>
  </headerFooter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Ryczałt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Koziorowska Dorota</dc:creator>
  <cp:lastModifiedBy>Jasińska Paulina</cp:lastModifiedBy>
  <cp:lastPrinted>2017-07-07T09:12:26Z</cp:lastPrinted>
  <dcterms:created xsi:type="dcterms:W3CDTF">2017-05-29T06:05:56Z</dcterms:created>
  <dcterms:modified xsi:type="dcterms:W3CDTF">2017-07-07T10:13:38Z</dcterms:modified>
</cp:coreProperties>
</file>