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30" windowWidth="15480" windowHeight="8670" tabRatio="688"/>
  </bookViews>
  <sheets>
    <sheet name="Zal_1_WPF_uklad_budzetu" sheetId="12" r:id="rId1"/>
    <sheet name="Zal_1_WPF_wg_przeplywow" sheetId="1" r:id="rId2"/>
    <sheet name="definicja" sheetId="8" state="hidden" r:id="rId3"/>
    <sheet name="DaneZrodlowe" sheetId="9" r:id="rId4"/>
  </sheets>
  <definedNames>
    <definedName name="_xlnm.Print_Area" localSheetId="0">Zal_1_WPF_uklad_budzetu!$A$1:$U$56</definedName>
    <definedName name="_xlnm.Print_Area" localSheetId="1">Zal_1_WPF_wg_przeplywow!$C$7:$AO$66</definedName>
    <definedName name="_xlnm.Print_Titles" localSheetId="0">Zal_1_WPF_uklad_budzetu!$A:$B,Zal_1_WPF_uklad_budzetu!$4:$5</definedName>
    <definedName name="_xlnm.Print_Titles" localSheetId="1">Zal_1_WPF_wg_przeplywow!$A:$B,Zal_1_WPF_wg_przeplywow!$5:$6</definedName>
  </definedNames>
  <calcPr calcId="125725"/>
  <fileRecoveryPr autoRecover="0"/>
</workbook>
</file>

<file path=xl/calcChain.xml><?xml version="1.0" encoding="utf-8"?>
<calcChain xmlns="http://schemas.openxmlformats.org/spreadsheetml/2006/main">
  <c r="AO63" i="1"/>
  <c r="AO62"/>
  <c r="AO61"/>
  <c r="AO60"/>
  <c r="AO59"/>
  <c r="AO58"/>
  <c r="AO57"/>
  <c r="AO56"/>
  <c r="AO54"/>
  <c r="AO52"/>
  <c r="AO51"/>
  <c r="AO50"/>
  <c r="AO44" i="12" s="1"/>
  <c r="AO47" i="1"/>
  <c r="AO46"/>
  <c r="AO45"/>
  <c r="AO44"/>
  <c r="AO43"/>
  <c r="AO42"/>
  <c r="AO41"/>
  <c r="AO40"/>
  <c r="AO39"/>
  <c r="AO38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O10"/>
  <c r="AO9"/>
  <c r="AO8"/>
  <c r="AO7"/>
  <c r="AN63"/>
  <c r="AN62"/>
  <c r="AN61"/>
  <c r="AN60"/>
  <c r="AN59"/>
  <c r="AN58"/>
  <c r="AN57"/>
  <c r="AN56"/>
  <c r="AN54"/>
  <c r="AN52"/>
  <c r="AN51"/>
  <c r="AN50"/>
  <c r="AN47"/>
  <c r="AN46"/>
  <c r="AN45"/>
  <c r="AN44"/>
  <c r="AN43"/>
  <c r="AN42"/>
  <c r="AN41"/>
  <c r="AN40"/>
  <c r="AN39"/>
  <c r="AN38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M63"/>
  <c r="AM62"/>
  <c r="AM61"/>
  <c r="AM60"/>
  <c r="AM59"/>
  <c r="AM58"/>
  <c r="AM57"/>
  <c r="AM56"/>
  <c r="AM54"/>
  <c r="AM52"/>
  <c r="AM51"/>
  <c r="AM50"/>
  <c r="AM47"/>
  <c r="AM46"/>
  <c r="AM45"/>
  <c r="AM44"/>
  <c r="AM43"/>
  <c r="AM42"/>
  <c r="AM41"/>
  <c r="AM40"/>
  <c r="AM39"/>
  <c r="AM38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M10"/>
  <c r="AM9"/>
  <c r="AM8"/>
  <c r="AM7"/>
  <c r="AL63"/>
  <c r="AL62"/>
  <c r="AL61"/>
  <c r="AL60"/>
  <c r="AL59"/>
  <c r="AL58"/>
  <c r="AL57"/>
  <c r="AL56"/>
  <c r="AL54"/>
  <c r="AL52"/>
  <c r="AL51"/>
  <c r="AL50"/>
  <c r="AL47"/>
  <c r="AL46"/>
  <c r="AL45"/>
  <c r="AL44"/>
  <c r="AL43"/>
  <c r="AL42"/>
  <c r="AL41"/>
  <c r="AL40"/>
  <c r="AL39"/>
  <c r="AL38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K63"/>
  <c r="AK62"/>
  <c r="AK61"/>
  <c r="AK60"/>
  <c r="AK59"/>
  <c r="AK58"/>
  <c r="AK57"/>
  <c r="AK56"/>
  <c r="AK54"/>
  <c r="AK52"/>
  <c r="AK51"/>
  <c r="AK50"/>
  <c r="AK47"/>
  <c r="AK46"/>
  <c r="AK45"/>
  <c r="AK44"/>
  <c r="AK43"/>
  <c r="AK42"/>
  <c r="AK41"/>
  <c r="AK40"/>
  <c r="AK39"/>
  <c r="AK38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J63"/>
  <c r="AJ62"/>
  <c r="AJ61"/>
  <c r="AJ60"/>
  <c r="AJ59"/>
  <c r="AJ58"/>
  <c r="AJ57"/>
  <c r="AJ56"/>
  <c r="AJ54"/>
  <c r="AJ52"/>
  <c r="AJ51"/>
  <c r="AJ50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9"/>
  <c r="AJ8"/>
  <c r="AJ7" i="12" s="1"/>
  <c r="AJ7" i="1"/>
  <c r="AI63"/>
  <c r="AI62"/>
  <c r="AI61"/>
  <c r="AI60"/>
  <c r="AI59"/>
  <c r="AI58"/>
  <c r="AI57"/>
  <c r="AI56"/>
  <c r="AI54"/>
  <c r="AI52"/>
  <c r="AI51"/>
  <c r="AI50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H63"/>
  <c r="AH62"/>
  <c r="AH61"/>
  <c r="AH60"/>
  <c r="AH59"/>
  <c r="AH58"/>
  <c r="AH57"/>
  <c r="AH56"/>
  <c r="AH54"/>
  <c r="AH52"/>
  <c r="AH51"/>
  <c r="AH50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52" i="12" s="1"/>
  <c r="AH17" i="1"/>
  <c r="AH16"/>
  <c r="AH15"/>
  <c r="AH14"/>
  <c r="AH13"/>
  <c r="AH12"/>
  <c r="AH11"/>
  <c r="AH10"/>
  <c r="AH9"/>
  <c r="AH8"/>
  <c r="AH7"/>
  <c r="AG63"/>
  <c r="AG62"/>
  <c r="AG61"/>
  <c r="AG60"/>
  <c r="AG59"/>
  <c r="AG58"/>
  <c r="AG57"/>
  <c r="AG56"/>
  <c r="AG54"/>
  <c r="AG52"/>
  <c r="AG51"/>
  <c r="AG50"/>
  <c r="AG47"/>
  <c r="AG46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F63"/>
  <c r="AF62"/>
  <c r="AF61"/>
  <c r="AF60"/>
  <c r="AF59"/>
  <c r="AF58"/>
  <c r="AF57"/>
  <c r="AF56"/>
  <c r="AF54"/>
  <c r="AF52"/>
  <c r="AF51"/>
  <c r="AF50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E63"/>
  <c r="AE62"/>
  <c r="AE61"/>
  <c r="AE60"/>
  <c r="AE59"/>
  <c r="AE58"/>
  <c r="AE57"/>
  <c r="AE56"/>
  <c r="AE54"/>
  <c r="AE52"/>
  <c r="AE51"/>
  <c r="AE50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D63"/>
  <c r="AD62"/>
  <c r="AD61"/>
  <c r="AD60"/>
  <c r="AD59"/>
  <c r="AD58"/>
  <c r="AD57"/>
  <c r="AD56"/>
  <c r="AD54"/>
  <c r="AD52"/>
  <c r="AD51"/>
  <c r="AD50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C63"/>
  <c r="AC62"/>
  <c r="AC61"/>
  <c r="AC60"/>
  <c r="AC59"/>
  <c r="AC58"/>
  <c r="AC57"/>
  <c r="AC56"/>
  <c r="AC54"/>
  <c r="AC52"/>
  <c r="AC51"/>
  <c r="AC50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AB63"/>
  <c r="AB62"/>
  <c r="AB61"/>
  <c r="AB60"/>
  <c r="AB59"/>
  <c r="AB58"/>
  <c r="AB57"/>
  <c r="AB56"/>
  <c r="AB54"/>
  <c r="AB52"/>
  <c r="AB51"/>
  <c r="AB50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AA63"/>
  <c r="AA62"/>
  <c r="AA61"/>
  <c r="AA60"/>
  <c r="AA59"/>
  <c r="AA58"/>
  <c r="AA57"/>
  <c r="AA56"/>
  <c r="AA54"/>
  <c r="AA52"/>
  <c r="AA51"/>
  <c r="AA50"/>
  <c r="AA47"/>
  <c r="AA46"/>
  <c r="AA45"/>
  <c r="AA44"/>
  <c r="AA43"/>
  <c r="AA42"/>
  <c r="AA41"/>
  <c r="AA40"/>
  <c r="AA39"/>
  <c r="AA38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AA10"/>
  <c r="AA9"/>
  <c r="AA8"/>
  <c r="AA7"/>
  <c r="Z63"/>
  <c r="Z62"/>
  <c r="Z61"/>
  <c r="Z60"/>
  <c r="Z59"/>
  <c r="Z58"/>
  <c r="Z57"/>
  <c r="Z56"/>
  <c r="Z54"/>
  <c r="Z52"/>
  <c r="Z51"/>
  <c r="Z50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Z10"/>
  <c r="Z9"/>
  <c r="Z8"/>
  <c r="Z7"/>
  <c r="Y63"/>
  <c r="Y62"/>
  <c r="Y61"/>
  <c r="Y60"/>
  <c r="Y59"/>
  <c r="Y58"/>
  <c r="Y57"/>
  <c r="Y56"/>
  <c r="Y54"/>
  <c r="Y52"/>
  <c r="Y51"/>
  <c r="Y50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X63"/>
  <c r="X62"/>
  <c r="X61"/>
  <c r="X60"/>
  <c r="X59"/>
  <c r="X58"/>
  <c r="X57"/>
  <c r="X56"/>
  <c r="X54"/>
  <c r="X52"/>
  <c r="X51"/>
  <c r="X50"/>
  <c r="X47"/>
  <c r="X46"/>
  <c r="X45"/>
  <c r="X44"/>
  <c r="X43"/>
  <c r="X54" i="12" s="1"/>
  <c r="X42" i="1"/>
  <c r="X42" i="12" s="1"/>
  <c r="X41" i="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W63"/>
  <c r="W62"/>
  <c r="W61"/>
  <c r="W60"/>
  <c r="W59"/>
  <c r="W58"/>
  <c r="W57"/>
  <c r="W56"/>
  <c r="W54"/>
  <c r="W52"/>
  <c r="W51"/>
  <c r="W50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W10"/>
  <c r="W9"/>
  <c r="W8"/>
  <c r="W7"/>
  <c r="V63"/>
  <c r="V62"/>
  <c r="V61"/>
  <c r="V60"/>
  <c r="V59"/>
  <c r="V58"/>
  <c r="V57"/>
  <c r="V56"/>
  <c r="V54"/>
  <c r="V52"/>
  <c r="V51"/>
  <c r="V50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18" i="12" s="1"/>
  <c r="V28" i="1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U63"/>
  <c r="U62"/>
  <c r="U61"/>
  <c r="U60"/>
  <c r="U59"/>
  <c r="U58"/>
  <c r="U57"/>
  <c r="U56"/>
  <c r="U54"/>
  <c r="U52"/>
  <c r="U51"/>
  <c r="U50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T63"/>
  <c r="T62"/>
  <c r="T61"/>
  <c r="T60"/>
  <c r="T59"/>
  <c r="T58"/>
  <c r="T57"/>
  <c r="T56"/>
  <c r="T54"/>
  <c r="T52"/>
  <c r="T51"/>
  <c r="T50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T10"/>
  <c r="T9"/>
  <c r="T8"/>
  <c r="T7"/>
  <c r="S63"/>
  <c r="S62"/>
  <c r="S61"/>
  <c r="S60"/>
  <c r="S59"/>
  <c r="S58"/>
  <c r="S57"/>
  <c r="S56"/>
  <c r="S54"/>
  <c r="S52"/>
  <c r="S51"/>
  <c r="S50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R63"/>
  <c r="R62"/>
  <c r="R61"/>
  <c r="R60"/>
  <c r="R59"/>
  <c r="R58"/>
  <c r="R57"/>
  <c r="R56"/>
  <c r="R54"/>
  <c r="R52"/>
  <c r="R51"/>
  <c r="R50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Q63"/>
  <c r="Q62"/>
  <c r="Q61"/>
  <c r="Q60"/>
  <c r="Q59"/>
  <c r="Q58"/>
  <c r="Q57"/>
  <c r="Q56"/>
  <c r="Q54"/>
  <c r="Q52"/>
  <c r="Q51"/>
  <c r="Q50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P63"/>
  <c r="P62"/>
  <c r="P61"/>
  <c r="P60"/>
  <c r="P59"/>
  <c r="P58"/>
  <c r="P57"/>
  <c r="P56"/>
  <c r="P54"/>
  <c r="P52"/>
  <c r="P51"/>
  <c r="P50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O63"/>
  <c r="O62"/>
  <c r="O61"/>
  <c r="O60"/>
  <c r="O59"/>
  <c r="O58"/>
  <c r="O57"/>
  <c r="O56"/>
  <c r="O54"/>
  <c r="O52"/>
  <c r="O51"/>
  <c r="O50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N63"/>
  <c r="N62"/>
  <c r="N61"/>
  <c r="N60"/>
  <c r="N59"/>
  <c r="N58"/>
  <c r="N57"/>
  <c r="N56"/>
  <c r="N54"/>
  <c r="N52"/>
  <c r="N51"/>
  <c r="N50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M63"/>
  <c r="M62"/>
  <c r="M61"/>
  <c r="M60"/>
  <c r="M59"/>
  <c r="M58"/>
  <c r="M57"/>
  <c r="M56"/>
  <c r="M54"/>
  <c r="M52"/>
  <c r="M51"/>
  <c r="M50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L63"/>
  <c r="L62"/>
  <c r="L61"/>
  <c r="L60"/>
  <c r="L59"/>
  <c r="L58"/>
  <c r="L57"/>
  <c r="L56"/>
  <c r="L54"/>
  <c r="L52"/>
  <c r="L51"/>
  <c r="L50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K63"/>
  <c r="K62"/>
  <c r="K61"/>
  <c r="K60"/>
  <c r="K59"/>
  <c r="K58"/>
  <c r="K57"/>
  <c r="K56"/>
  <c r="K54"/>
  <c r="K52"/>
  <c r="K51"/>
  <c r="K50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J63"/>
  <c r="J62"/>
  <c r="J61"/>
  <c r="J60"/>
  <c r="J59"/>
  <c r="J58"/>
  <c r="J57"/>
  <c r="J56"/>
  <c r="J54"/>
  <c r="J52"/>
  <c r="J51"/>
  <c r="J50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I63"/>
  <c r="I62"/>
  <c r="I61"/>
  <c r="I60"/>
  <c r="I59"/>
  <c r="I58"/>
  <c r="I57"/>
  <c r="I56"/>
  <c r="I54"/>
  <c r="I52"/>
  <c r="I51"/>
  <c r="I50"/>
  <c r="I47"/>
  <c r="I46"/>
  <c r="I45"/>
  <c r="I44"/>
  <c r="I43"/>
  <c r="I42"/>
  <c r="I41"/>
  <c r="I40"/>
  <c r="I36" i="12" s="1"/>
  <c r="I39" i="1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63"/>
  <c r="H62"/>
  <c r="H61"/>
  <c r="H60"/>
  <c r="H59"/>
  <c r="H58"/>
  <c r="H57"/>
  <c r="H56"/>
  <c r="H54"/>
  <c r="H52"/>
  <c r="H51"/>
  <c r="H50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63"/>
  <c r="G62"/>
  <c r="G61"/>
  <c r="G60"/>
  <c r="G59"/>
  <c r="G58"/>
  <c r="G57"/>
  <c r="G56"/>
  <c r="G54"/>
  <c r="G52"/>
  <c r="G51"/>
  <c r="G50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F63"/>
  <c r="F62"/>
  <c r="F61"/>
  <c r="F60"/>
  <c r="F59"/>
  <c r="F58"/>
  <c r="F57"/>
  <c r="F56"/>
  <c r="F54"/>
  <c r="F52"/>
  <c r="F51"/>
  <c r="F50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E63"/>
  <c r="E62"/>
  <c r="E61"/>
  <c r="E60"/>
  <c r="E59"/>
  <c r="E58"/>
  <c r="E57"/>
  <c r="E56"/>
  <c r="E54"/>
  <c r="E52"/>
  <c r="E51"/>
  <c r="E50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D63"/>
  <c r="D62"/>
  <c r="D61"/>
  <c r="D60"/>
  <c r="D59"/>
  <c r="D58"/>
  <c r="D57"/>
  <c r="D56"/>
  <c r="D54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63"/>
  <c r="C62"/>
  <c r="C61"/>
  <c r="C60"/>
  <c r="C59"/>
  <c r="C58"/>
  <c r="C57"/>
  <c r="C56"/>
  <c r="C54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B4" i="12"/>
  <c r="M1" i="9"/>
  <c r="AH60" i="8"/>
  <c r="AG60"/>
  <c r="AG59"/>
  <c r="AG58"/>
  <c r="AG57"/>
  <c r="AG56"/>
  <c r="AG55"/>
  <c r="AG54"/>
  <c r="AG53"/>
  <c r="AG52"/>
  <c r="AG51"/>
  <c r="AG50"/>
  <c r="AG49"/>
  <c r="AG48"/>
  <c r="AG47"/>
  <c r="AG46"/>
  <c r="AG45"/>
  <c r="AG44"/>
  <c r="AG43"/>
  <c r="AG42"/>
  <c r="AG41"/>
  <c r="AG40"/>
  <c r="AG39"/>
  <c r="AG38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G10"/>
  <c r="AG9"/>
  <c r="AG8"/>
  <c r="AG7"/>
  <c r="AG6"/>
  <c r="AG5"/>
  <c r="AG4"/>
  <c r="D3" i="1"/>
  <c r="AF60" i="8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E32"/>
  <c r="D32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D1" i="1"/>
  <c r="D2"/>
  <c r="L31" i="8"/>
  <c r="K31"/>
  <c r="J31"/>
  <c r="I31"/>
  <c r="H31"/>
  <c r="G31"/>
  <c r="F31"/>
  <c r="E31"/>
  <c r="D31"/>
  <c r="L30"/>
  <c r="K30"/>
  <c r="J30"/>
  <c r="I30"/>
  <c r="H30"/>
  <c r="G30"/>
  <c r="F30"/>
  <c r="E30"/>
  <c r="D30"/>
  <c r="L29"/>
  <c r="K29"/>
  <c r="J29"/>
  <c r="I29"/>
  <c r="H29"/>
  <c r="G29"/>
  <c r="F29"/>
  <c r="E29"/>
  <c r="D29"/>
  <c r="L28"/>
  <c r="K28"/>
  <c r="J28"/>
  <c r="I28"/>
  <c r="H28"/>
  <c r="G28"/>
  <c r="F28"/>
  <c r="E28"/>
  <c r="D28"/>
  <c r="L27"/>
  <c r="K27"/>
  <c r="J27"/>
  <c r="I27"/>
  <c r="H27"/>
  <c r="G27"/>
  <c r="F27"/>
  <c r="E27"/>
  <c r="D27"/>
  <c r="L26"/>
  <c r="K26"/>
  <c r="J26"/>
  <c r="I26"/>
  <c r="H26"/>
  <c r="G26"/>
  <c r="F26"/>
  <c r="E26"/>
  <c r="D26"/>
  <c r="L25"/>
  <c r="K25"/>
  <c r="J25"/>
  <c r="I25"/>
  <c r="H25"/>
  <c r="G25"/>
  <c r="F25"/>
  <c r="E25"/>
  <c r="D25"/>
  <c r="L24"/>
  <c r="K24"/>
  <c r="J24"/>
  <c r="I24"/>
  <c r="H24"/>
  <c r="G24"/>
  <c r="F24"/>
  <c r="E24"/>
  <c r="D24"/>
  <c r="L23"/>
  <c r="K23"/>
  <c r="J23"/>
  <c r="I23"/>
  <c r="H23"/>
  <c r="G23"/>
  <c r="F23"/>
  <c r="E23"/>
  <c r="D23"/>
  <c r="L22"/>
  <c r="K22"/>
  <c r="J22"/>
  <c r="I22"/>
  <c r="H22"/>
  <c r="G22"/>
  <c r="F22"/>
  <c r="E22"/>
  <c r="D22"/>
  <c r="L21"/>
  <c r="K21"/>
  <c r="J21"/>
  <c r="I21"/>
  <c r="H21"/>
  <c r="G21"/>
  <c r="F21"/>
  <c r="E21"/>
  <c r="D21"/>
  <c r="L20"/>
  <c r="K20"/>
  <c r="J20"/>
  <c r="I20"/>
  <c r="H20"/>
  <c r="G20"/>
  <c r="F20"/>
  <c r="E20"/>
  <c r="D20"/>
  <c r="L19"/>
  <c r="K19"/>
  <c r="J19"/>
  <c r="I19"/>
  <c r="H19"/>
  <c r="G19"/>
  <c r="F19"/>
  <c r="E19"/>
  <c r="D19"/>
  <c r="L18"/>
  <c r="K18"/>
  <c r="J18"/>
  <c r="I18"/>
  <c r="H18"/>
  <c r="G18"/>
  <c r="F18"/>
  <c r="E18"/>
  <c r="D18"/>
  <c r="L17"/>
  <c r="K17"/>
  <c r="J17"/>
  <c r="I17"/>
  <c r="H17"/>
  <c r="G17"/>
  <c r="F17"/>
  <c r="E17"/>
  <c r="D17"/>
  <c r="L16"/>
  <c r="K16"/>
  <c r="J16"/>
  <c r="I16"/>
  <c r="H16"/>
  <c r="G16"/>
  <c r="F16"/>
  <c r="E16"/>
  <c r="D16"/>
  <c r="L15"/>
  <c r="K15"/>
  <c r="J15"/>
  <c r="I15"/>
  <c r="H15"/>
  <c r="G15"/>
  <c r="F15"/>
  <c r="E15"/>
  <c r="D15"/>
  <c r="L14"/>
  <c r="K14"/>
  <c r="J14"/>
  <c r="I14"/>
  <c r="H14"/>
  <c r="G14"/>
  <c r="F14"/>
  <c r="E14"/>
  <c r="D14"/>
  <c r="L13"/>
  <c r="K13"/>
  <c r="J13"/>
  <c r="I13"/>
  <c r="H13"/>
  <c r="G13"/>
  <c r="F13"/>
  <c r="E13"/>
  <c r="D13"/>
  <c r="L12"/>
  <c r="K12"/>
  <c r="J12"/>
  <c r="I12"/>
  <c r="H12"/>
  <c r="G12"/>
  <c r="F12"/>
  <c r="E12"/>
  <c r="D12"/>
  <c r="L11"/>
  <c r="K11"/>
  <c r="J11"/>
  <c r="I11"/>
  <c r="H11"/>
  <c r="G11"/>
  <c r="F11"/>
  <c r="E11"/>
  <c r="D11"/>
  <c r="L10"/>
  <c r="K10"/>
  <c r="J10"/>
  <c r="I10"/>
  <c r="H10"/>
  <c r="G10"/>
  <c r="F10"/>
  <c r="E10"/>
  <c r="D10"/>
  <c r="L9"/>
  <c r="K9"/>
  <c r="J9"/>
  <c r="I9"/>
  <c r="H9"/>
  <c r="G9"/>
  <c r="F9"/>
  <c r="E9"/>
  <c r="D9"/>
  <c r="L8"/>
  <c r="K8"/>
  <c r="J8"/>
  <c r="I8"/>
  <c r="H8"/>
  <c r="G8"/>
  <c r="F8"/>
  <c r="E8"/>
  <c r="D8"/>
  <c r="L7"/>
  <c r="K7"/>
  <c r="J7"/>
  <c r="I7"/>
  <c r="H7"/>
  <c r="G7"/>
  <c r="F7"/>
  <c r="E7"/>
  <c r="D7"/>
  <c r="L6"/>
  <c r="K6"/>
  <c r="J6"/>
  <c r="I6"/>
  <c r="H6"/>
  <c r="G6"/>
  <c r="F6"/>
  <c r="E6"/>
  <c r="D6"/>
  <c r="L5"/>
  <c r="K5"/>
  <c r="J5"/>
  <c r="I5"/>
  <c r="H5"/>
  <c r="G5"/>
  <c r="F5"/>
  <c r="E5"/>
  <c r="D5"/>
  <c r="L4"/>
  <c r="K4"/>
  <c r="J4"/>
  <c r="I4"/>
  <c r="H4"/>
  <c r="G4"/>
  <c r="F4"/>
  <c r="E4"/>
  <c r="D4"/>
  <c r="AH4"/>
  <c r="AH8"/>
  <c r="AH12"/>
  <c r="AH16"/>
  <c r="AH20"/>
  <c r="AH24"/>
  <c r="AH28"/>
  <c r="AH32"/>
  <c r="AH36"/>
  <c r="AH40"/>
  <c r="AH44"/>
  <c r="AH48"/>
  <c r="AH52"/>
  <c r="AH56"/>
  <c r="AH59"/>
  <c r="AH57"/>
  <c r="AH55"/>
  <c r="AH53"/>
  <c r="AH51"/>
  <c r="AH49"/>
  <c r="AH47"/>
  <c r="AH45"/>
  <c r="AH43"/>
  <c r="AH41"/>
  <c r="AH39"/>
  <c r="AH37"/>
  <c r="AH35"/>
  <c r="AH33"/>
  <c r="AH31"/>
  <c r="AH29"/>
  <c r="AH27"/>
  <c r="AH25"/>
  <c r="AH23"/>
  <c r="AH21"/>
  <c r="AH19"/>
  <c r="AH17"/>
  <c r="AH15"/>
  <c r="AH13"/>
  <c r="AH11"/>
  <c r="AH9"/>
  <c r="AH7"/>
  <c r="AH5"/>
  <c r="AH6"/>
  <c r="AH10"/>
  <c r="AH14"/>
  <c r="AH18"/>
  <c r="AH22"/>
  <c r="AH26"/>
  <c r="AH30"/>
  <c r="AH34"/>
  <c r="AH38"/>
  <c r="AH42"/>
  <c r="AH46"/>
  <c r="AH50"/>
  <c r="AH54"/>
  <c r="AH58"/>
  <c r="AI60"/>
  <c r="AI58"/>
  <c r="AI56"/>
  <c r="AI54"/>
  <c r="AI52"/>
  <c r="AI50"/>
  <c r="AI48"/>
  <c r="AI46"/>
  <c r="AI44"/>
  <c r="AI42"/>
  <c r="AI40"/>
  <c r="AI38"/>
  <c r="AI36"/>
  <c r="AI34"/>
  <c r="AI32"/>
  <c r="AI30"/>
  <c r="AI28"/>
  <c r="AI26"/>
  <c r="AI24"/>
  <c r="AI22"/>
  <c r="AI20"/>
  <c r="AI18"/>
  <c r="AI16"/>
  <c r="AI14"/>
  <c r="AI12"/>
  <c r="AI10"/>
  <c r="AI8"/>
  <c r="AI6"/>
  <c r="AI4"/>
  <c r="AI57"/>
  <c r="AI53"/>
  <c r="AI49"/>
  <c r="AI45"/>
  <c r="AI41"/>
  <c r="AI37"/>
  <c r="AI33"/>
  <c r="AI29"/>
  <c r="AI25"/>
  <c r="AI21"/>
  <c r="AI17"/>
  <c r="AI13"/>
  <c r="AI9"/>
  <c r="AI5"/>
  <c r="AI59"/>
  <c r="AI55"/>
  <c r="AI51"/>
  <c r="AI47"/>
  <c r="AI43"/>
  <c r="AI39"/>
  <c r="AI35"/>
  <c r="AI31"/>
  <c r="AI27"/>
  <c r="AI23"/>
  <c r="AI19"/>
  <c r="AI15"/>
  <c r="AI11"/>
  <c r="AI7"/>
  <c r="AJ59"/>
  <c r="AJ57"/>
  <c r="AJ55"/>
  <c r="AJ53"/>
  <c r="AJ51"/>
  <c r="AJ49"/>
  <c r="AJ47"/>
  <c r="AJ45"/>
  <c r="AJ43"/>
  <c r="AJ41"/>
  <c r="AJ39"/>
  <c r="AJ37"/>
  <c r="AJ35"/>
  <c r="AJ33"/>
  <c r="AJ31"/>
  <c r="AJ29"/>
  <c r="AJ27"/>
  <c r="AJ25"/>
  <c r="AJ23"/>
  <c r="AJ21"/>
  <c r="AJ19"/>
  <c r="AJ17"/>
  <c r="AJ15"/>
  <c r="AJ13"/>
  <c r="AJ11"/>
  <c r="AJ9"/>
  <c r="AJ7"/>
  <c r="AJ5"/>
  <c r="AJ60"/>
  <c r="AJ56"/>
  <c r="AJ52"/>
  <c r="AJ48"/>
  <c r="AJ44"/>
  <c r="AJ40"/>
  <c r="AJ36"/>
  <c r="AJ32"/>
  <c r="AJ28"/>
  <c r="AJ24"/>
  <c r="AJ20"/>
  <c r="AJ16"/>
  <c r="AJ12"/>
  <c r="AJ8"/>
  <c r="AJ4"/>
  <c r="AJ58"/>
  <c r="AJ54"/>
  <c r="AJ50"/>
  <c r="AJ46"/>
  <c r="AJ42"/>
  <c r="AJ38"/>
  <c r="AJ34"/>
  <c r="AJ30"/>
  <c r="AJ26"/>
  <c r="AJ22"/>
  <c r="AJ18"/>
  <c r="AJ14"/>
  <c r="AJ10"/>
  <c r="AJ6"/>
  <c r="AK60"/>
  <c r="AK58"/>
  <c r="AK56"/>
  <c r="AK54"/>
  <c r="AK52"/>
  <c r="AK50"/>
  <c r="AK48"/>
  <c r="AK46"/>
  <c r="AK44"/>
  <c r="AK42"/>
  <c r="AK40"/>
  <c r="AK38"/>
  <c r="AK36"/>
  <c r="AK34"/>
  <c r="AK32"/>
  <c r="AK30"/>
  <c r="AK28"/>
  <c r="AK26"/>
  <c r="AK24"/>
  <c r="AK22"/>
  <c r="AK20"/>
  <c r="AK18"/>
  <c r="AK16"/>
  <c r="AK14"/>
  <c r="AK12"/>
  <c r="AK10"/>
  <c r="AK8"/>
  <c r="AK6"/>
  <c r="AK4"/>
  <c r="AK59"/>
  <c r="AK55"/>
  <c r="AK51"/>
  <c r="AK47"/>
  <c r="AK43"/>
  <c r="AK39"/>
  <c r="AK35"/>
  <c r="AK31"/>
  <c r="AK27"/>
  <c r="AK23"/>
  <c r="AK19"/>
  <c r="AK15"/>
  <c r="AK11"/>
  <c r="AK7"/>
  <c r="AK57"/>
  <c r="AK53"/>
  <c r="AK49"/>
  <c r="AK45"/>
  <c r="AK41"/>
  <c r="AK37"/>
  <c r="AK33"/>
  <c r="AK29"/>
  <c r="AK25"/>
  <c r="AK21"/>
  <c r="AK17"/>
  <c r="AK13"/>
  <c r="AK9"/>
  <c r="AK5"/>
  <c r="AL59"/>
  <c r="AL57"/>
  <c r="AL55"/>
  <c r="AL53"/>
  <c r="AL51"/>
  <c r="AL49"/>
  <c r="AL47"/>
  <c r="AL45"/>
  <c r="AL43"/>
  <c r="AL41"/>
  <c r="AL39"/>
  <c r="AL37"/>
  <c r="AL35"/>
  <c r="AL33"/>
  <c r="AL31"/>
  <c r="AL29"/>
  <c r="AL27"/>
  <c r="AL25"/>
  <c r="AL23"/>
  <c r="AL21"/>
  <c r="AL19"/>
  <c r="AL17"/>
  <c r="AL15"/>
  <c r="AL13"/>
  <c r="AL11"/>
  <c r="AL9"/>
  <c r="AL7"/>
  <c r="AL5"/>
  <c r="AL58"/>
  <c r="AL54"/>
  <c r="AL50"/>
  <c r="AL46"/>
  <c r="AL42"/>
  <c r="AL38"/>
  <c r="AL34"/>
  <c r="AL30"/>
  <c r="AL26"/>
  <c r="AL22"/>
  <c r="AL18"/>
  <c r="AL14"/>
  <c r="AL10"/>
  <c r="AL6"/>
  <c r="AL60"/>
  <c r="AL56"/>
  <c r="AL52"/>
  <c r="AL48"/>
  <c r="AL44"/>
  <c r="AL40"/>
  <c r="AL36"/>
  <c r="AL32"/>
  <c r="AL28"/>
  <c r="AL24"/>
  <c r="AL20"/>
  <c r="AL16"/>
  <c r="AL12"/>
  <c r="AL8"/>
  <c r="AL4"/>
  <c r="AM60"/>
  <c r="AM58"/>
  <c r="AM56"/>
  <c r="AM54"/>
  <c r="AM52"/>
  <c r="AM50"/>
  <c r="AM48"/>
  <c r="AM46"/>
  <c r="AM44"/>
  <c r="AM42"/>
  <c r="AM40"/>
  <c r="AM38"/>
  <c r="AM36"/>
  <c r="AM34"/>
  <c r="AM32"/>
  <c r="AM30"/>
  <c r="AM28"/>
  <c r="AM26"/>
  <c r="AM24"/>
  <c r="AM22"/>
  <c r="AM20"/>
  <c r="AM18"/>
  <c r="AM16"/>
  <c r="AM14"/>
  <c r="AM12"/>
  <c r="AM10"/>
  <c r="AM8"/>
  <c r="AM6"/>
  <c r="AM4"/>
  <c r="AM57"/>
  <c r="AM53"/>
  <c r="AM49"/>
  <c r="AM45"/>
  <c r="AM41"/>
  <c r="AM37"/>
  <c r="AM33"/>
  <c r="AM29"/>
  <c r="AM25"/>
  <c r="AM21"/>
  <c r="AM17"/>
  <c r="AM13"/>
  <c r="AM9"/>
  <c r="AM5"/>
  <c r="AM59"/>
  <c r="AM55"/>
  <c r="AM51"/>
  <c r="AM47"/>
  <c r="AM43"/>
  <c r="AM39"/>
  <c r="AM35"/>
  <c r="AM31"/>
  <c r="AM27"/>
  <c r="AM23"/>
  <c r="AM19"/>
  <c r="AM15"/>
  <c r="AM11"/>
  <c r="AM7"/>
  <c r="AN59"/>
  <c r="AN57"/>
  <c r="AN55"/>
  <c r="AN53"/>
  <c r="AN51"/>
  <c r="AN49"/>
  <c r="AN47"/>
  <c r="AN45"/>
  <c r="AN43"/>
  <c r="AN41"/>
  <c r="AN39"/>
  <c r="AN37"/>
  <c r="AN35"/>
  <c r="AN33"/>
  <c r="AN31"/>
  <c r="AN29"/>
  <c r="AN27"/>
  <c r="AN25"/>
  <c r="AN23"/>
  <c r="AN21"/>
  <c r="AN19"/>
  <c r="AN17"/>
  <c r="AN15"/>
  <c r="AN13"/>
  <c r="AN11"/>
  <c r="AN9"/>
  <c r="AN7"/>
  <c r="AN5"/>
  <c r="AN60"/>
  <c r="AN56"/>
  <c r="AN52"/>
  <c r="AN48"/>
  <c r="AN44"/>
  <c r="AN40"/>
  <c r="AN36"/>
  <c r="AN32"/>
  <c r="AN28"/>
  <c r="AN24"/>
  <c r="AN20"/>
  <c r="AN16"/>
  <c r="AN12"/>
  <c r="AN8"/>
  <c r="AN4"/>
  <c r="AN58"/>
  <c r="AN54"/>
  <c r="AN50"/>
  <c r="AN46"/>
  <c r="AN42"/>
  <c r="AN38"/>
  <c r="AN34"/>
  <c r="AN30"/>
  <c r="AN26"/>
  <c r="AN22"/>
  <c r="AN18"/>
  <c r="AN14"/>
  <c r="AN10"/>
  <c r="AN6"/>
  <c r="AO60"/>
  <c r="AO58"/>
  <c r="AO56"/>
  <c r="AO54"/>
  <c r="AO52"/>
  <c r="AO50"/>
  <c r="AO48"/>
  <c r="AO46"/>
  <c r="AO44"/>
  <c r="AO42"/>
  <c r="AO40"/>
  <c r="AO38"/>
  <c r="AO36"/>
  <c r="AO34"/>
  <c r="AO32"/>
  <c r="AO30"/>
  <c r="AO28"/>
  <c r="AO26"/>
  <c r="AO24"/>
  <c r="AO22"/>
  <c r="AO20"/>
  <c r="AO18"/>
  <c r="AO16"/>
  <c r="AO14"/>
  <c r="AO12"/>
  <c r="AO10"/>
  <c r="AO8"/>
  <c r="AO6"/>
  <c r="AO4"/>
  <c r="AO59"/>
  <c r="AO55"/>
  <c r="AO51"/>
  <c r="AO47"/>
  <c r="AO43"/>
  <c r="AO39"/>
  <c r="AO35"/>
  <c r="AO31"/>
  <c r="AO27"/>
  <c r="AO23"/>
  <c r="AO19"/>
  <c r="AO15"/>
  <c r="AO11"/>
  <c r="AO7"/>
  <c r="AO57"/>
  <c r="AO53"/>
  <c r="AO49"/>
  <c r="AO45"/>
  <c r="AO41"/>
  <c r="AO37"/>
  <c r="AO33"/>
  <c r="AO29"/>
  <c r="AO25"/>
  <c r="AO21"/>
  <c r="AO17"/>
  <c r="AO13"/>
  <c r="AO9"/>
  <c r="AO5"/>
  <c r="AP59"/>
  <c r="AP57"/>
  <c r="AP55"/>
  <c r="AP53"/>
  <c r="AP51"/>
  <c r="AP49"/>
  <c r="AP47"/>
  <c r="AP45"/>
  <c r="AP43"/>
  <c r="AP41"/>
  <c r="AP39"/>
  <c r="AP37"/>
  <c r="AP35"/>
  <c r="AP33"/>
  <c r="AP31"/>
  <c r="AP29"/>
  <c r="AP27"/>
  <c r="AP25"/>
  <c r="AP23"/>
  <c r="AP21"/>
  <c r="AP19"/>
  <c r="AP17"/>
  <c r="AP15"/>
  <c r="AP13"/>
  <c r="AP11"/>
  <c r="AP9"/>
  <c r="AP7"/>
  <c r="AP5"/>
  <c r="AP58"/>
  <c r="AP54"/>
  <c r="AP50"/>
  <c r="AP46"/>
  <c r="AP42"/>
  <c r="AP38"/>
  <c r="AP34"/>
  <c r="AP30"/>
  <c r="AP26"/>
  <c r="AP22"/>
  <c r="AP18"/>
  <c r="AP14"/>
  <c r="AP10"/>
  <c r="AP6"/>
  <c r="AP60"/>
  <c r="AP56"/>
  <c r="AP52"/>
  <c r="AP48"/>
  <c r="AP44"/>
  <c r="AP40"/>
  <c r="AP36"/>
  <c r="AP32"/>
  <c r="AP28"/>
  <c r="AP24"/>
  <c r="AP20"/>
  <c r="AP16"/>
  <c r="AP12"/>
  <c r="AP8"/>
  <c r="AP4"/>
  <c r="C9" i="12"/>
  <c r="C50"/>
  <c r="C52"/>
  <c r="C26"/>
  <c r="C19"/>
  <c r="C53"/>
  <c r="C42"/>
  <c r="C38"/>
  <c r="C44"/>
  <c r="D10"/>
  <c r="D51"/>
  <c r="D15"/>
  <c r="D29"/>
  <c r="D32"/>
  <c r="D34"/>
  <c r="D21"/>
  <c r="D35"/>
  <c r="D54"/>
  <c r="D39"/>
  <c r="D43"/>
  <c r="E7"/>
  <c r="E11"/>
  <c r="E16"/>
  <c r="E30"/>
  <c r="E33"/>
  <c r="E27"/>
  <c r="E36"/>
  <c r="E55"/>
  <c r="E44"/>
  <c r="F10"/>
  <c r="F51"/>
  <c r="F15"/>
  <c r="F29"/>
  <c r="F32"/>
  <c r="F34"/>
  <c r="F21"/>
  <c r="F35"/>
  <c r="F54"/>
  <c r="F47"/>
  <c r="G9"/>
  <c r="G50"/>
  <c r="G52"/>
  <c r="G26"/>
  <c r="G19"/>
  <c r="G53"/>
  <c r="G42"/>
  <c r="G45"/>
  <c r="H8"/>
  <c r="H14"/>
  <c r="H17"/>
  <c r="H25"/>
  <c r="H18"/>
  <c r="H20"/>
  <c r="H28"/>
  <c r="H37"/>
  <c r="H56"/>
  <c r="H43"/>
  <c r="I7"/>
  <c r="I11"/>
  <c r="I16"/>
  <c r="I30"/>
  <c r="I33"/>
  <c r="I27"/>
  <c r="I55"/>
  <c r="I44"/>
  <c r="J10"/>
  <c r="J51"/>
  <c r="J15"/>
  <c r="J29"/>
  <c r="J32"/>
  <c r="J34"/>
  <c r="J21"/>
  <c r="J35"/>
  <c r="J54"/>
  <c r="J47"/>
  <c r="K9"/>
  <c r="K50"/>
  <c r="K52"/>
  <c r="K26"/>
  <c r="K19"/>
  <c r="K53"/>
  <c r="K42"/>
  <c r="K45"/>
  <c r="L8"/>
  <c r="L14"/>
  <c r="L17"/>
  <c r="L25"/>
  <c r="L18"/>
  <c r="L20"/>
  <c r="L28"/>
  <c r="L37"/>
  <c r="L56"/>
  <c r="L43"/>
  <c r="M7"/>
  <c r="M11"/>
  <c r="M16"/>
  <c r="M30"/>
  <c r="M33"/>
  <c r="C7"/>
  <c r="C11"/>
  <c r="C16"/>
  <c r="C30"/>
  <c r="C33"/>
  <c r="C27"/>
  <c r="C36"/>
  <c r="C55"/>
  <c r="C40"/>
  <c r="C45"/>
  <c r="D8"/>
  <c r="D14"/>
  <c r="D17"/>
  <c r="D25"/>
  <c r="D18"/>
  <c r="D20"/>
  <c r="D89" s="1"/>
  <c r="D28"/>
  <c r="D37"/>
  <c r="D56"/>
  <c r="D41"/>
  <c r="D47"/>
  <c r="E9"/>
  <c r="E50"/>
  <c r="E52"/>
  <c r="E26"/>
  <c r="E19"/>
  <c r="E53"/>
  <c r="E42"/>
  <c r="E45"/>
  <c r="F8"/>
  <c r="F14"/>
  <c r="F17"/>
  <c r="F25"/>
  <c r="F18"/>
  <c r="F20"/>
  <c r="F28"/>
  <c r="F37"/>
  <c r="F56"/>
  <c r="F43"/>
  <c r="G7"/>
  <c r="G11"/>
  <c r="G16"/>
  <c r="G30"/>
  <c r="G33"/>
  <c r="G27"/>
  <c r="G36"/>
  <c r="G55"/>
  <c r="G44"/>
  <c r="H10"/>
  <c r="H51"/>
  <c r="H15"/>
  <c r="H29"/>
  <c r="H32"/>
  <c r="H34"/>
  <c r="H21"/>
  <c r="H35"/>
  <c r="H54"/>
  <c r="H47"/>
  <c r="I9"/>
  <c r="I87" s="1"/>
  <c r="I50"/>
  <c r="I52"/>
  <c r="I26"/>
  <c r="I19"/>
  <c r="I53"/>
  <c r="I42"/>
  <c r="I45"/>
  <c r="J8"/>
  <c r="J14"/>
  <c r="J17"/>
  <c r="J25"/>
  <c r="J18"/>
  <c r="J20"/>
  <c r="J28"/>
  <c r="J37"/>
  <c r="J56"/>
  <c r="J43"/>
  <c r="K7"/>
  <c r="K11"/>
  <c r="K16"/>
  <c r="K30"/>
  <c r="K33"/>
  <c r="K27"/>
  <c r="K36"/>
  <c r="K55"/>
  <c r="K44"/>
  <c r="L10"/>
  <c r="L51"/>
  <c r="L15"/>
  <c r="L29"/>
  <c r="L32"/>
  <c r="L34"/>
  <c r="L21"/>
  <c r="L35"/>
  <c r="L54"/>
  <c r="L47"/>
  <c r="L48" s="1"/>
  <c r="M9"/>
  <c r="M50"/>
  <c r="M52"/>
  <c r="M26"/>
  <c r="M19"/>
  <c r="M53"/>
  <c r="M27"/>
  <c r="M36"/>
  <c r="M42"/>
  <c r="M55"/>
  <c r="M44"/>
  <c r="M45"/>
  <c r="N8"/>
  <c r="N10"/>
  <c r="N14"/>
  <c r="N51"/>
  <c r="N17"/>
  <c r="N15"/>
  <c r="N25"/>
  <c r="N29"/>
  <c r="N32"/>
  <c r="N18"/>
  <c r="N34"/>
  <c r="N20"/>
  <c r="N21"/>
  <c r="N28"/>
  <c r="N35"/>
  <c r="N37"/>
  <c r="N54"/>
  <c r="N56"/>
  <c r="N43"/>
  <c r="N47"/>
  <c r="O7"/>
  <c r="O9"/>
  <c r="O11"/>
  <c r="O50"/>
  <c r="O16"/>
  <c r="O52"/>
  <c r="O26"/>
  <c r="O30"/>
  <c r="O33"/>
  <c r="O19"/>
  <c r="O53"/>
  <c r="O27"/>
  <c r="O36"/>
  <c r="O42"/>
  <c r="O55"/>
  <c r="O44"/>
  <c r="O45"/>
  <c r="P8"/>
  <c r="P10"/>
  <c r="P14"/>
  <c r="P51"/>
  <c r="P17"/>
  <c r="P15"/>
  <c r="P25"/>
  <c r="P29"/>
  <c r="P32"/>
  <c r="P18"/>
  <c r="P34"/>
  <c r="P20"/>
  <c r="P21"/>
  <c r="P28"/>
  <c r="P35"/>
  <c r="P37"/>
  <c r="P54"/>
  <c r="P56"/>
  <c r="P43"/>
  <c r="P47"/>
  <c r="Q7"/>
  <c r="Q9"/>
  <c r="Q11"/>
  <c r="Q50"/>
  <c r="Q16"/>
  <c r="Q52"/>
  <c r="Q26"/>
  <c r="Q30"/>
  <c r="Q33"/>
  <c r="Q19"/>
  <c r="Q53"/>
  <c r="Q27"/>
  <c r="Q36"/>
  <c r="Q42"/>
  <c r="Q55"/>
  <c r="Q44"/>
  <c r="Q45"/>
  <c r="R10"/>
  <c r="R51"/>
  <c r="R15"/>
  <c r="R29"/>
  <c r="R32"/>
  <c r="R34"/>
  <c r="R21"/>
  <c r="R35"/>
  <c r="R54"/>
  <c r="R47"/>
  <c r="S9"/>
  <c r="S50"/>
  <c r="S52"/>
  <c r="S26"/>
  <c r="S19"/>
  <c r="S53"/>
  <c r="S42"/>
  <c r="S45"/>
  <c r="T8"/>
  <c r="T14"/>
  <c r="T17"/>
  <c r="T25"/>
  <c r="T18"/>
  <c r="T20"/>
  <c r="T28"/>
  <c r="T37"/>
  <c r="T56"/>
  <c r="T43"/>
  <c r="U7"/>
  <c r="U11"/>
  <c r="U16"/>
  <c r="U30"/>
  <c r="U33"/>
  <c r="U27"/>
  <c r="U36"/>
  <c r="U55"/>
  <c r="U44"/>
  <c r="V10"/>
  <c r="V51"/>
  <c r="V15"/>
  <c r="V29"/>
  <c r="V32"/>
  <c r="V34"/>
  <c r="V21"/>
  <c r="V35"/>
  <c r="V54"/>
  <c r="V47"/>
  <c r="W9"/>
  <c r="W50"/>
  <c r="W52"/>
  <c r="W26"/>
  <c r="W19"/>
  <c r="W53"/>
  <c r="W42"/>
  <c r="W45"/>
  <c r="X8"/>
  <c r="X14"/>
  <c r="X17"/>
  <c r="X25"/>
  <c r="X18"/>
  <c r="X20"/>
  <c r="X28"/>
  <c r="X37"/>
  <c r="X56"/>
  <c r="X43"/>
  <c r="Y7"/>
  <c r="Y11"/>
  <c r="Y16"/>
  <c r="Y30"/>
  <c r="Y33"/>
  <c r="Y27"/>
  <c r="Y36"/>
  <c r="Y55"/>
  <c r="Y44"/>
  <c r="Z10"/>
  <c r="Z51"/>
  <c r="Z15"/>
  <c r="Z29"/>
  <c r="Z32"/>
  <c r="Z34"/>
  <c r="Z21"/>
  <c r="Z35"/>
  <c r="Z54"/>
  <c r="Z47"/>
  <c r="AA9"/>
  <c r="AA50"/>
  <c r="AA52"/>
  <c r="AA26"/>
  <c r="AA19"/>
  <c r="AA53"/>
  <c r="AA42"/>
  <c r="AA45"/>
  <c r="AB8"/>
  <c r="AB14"/>
  <c r="AB17"/>
  <c r="AB25"/>
  <c r="AB18"/>
  <c r="AB20"/>
  <c r="AB28"/>
  <c r="AB37"/>
  <c r="AB56"/>
  <c r="AB43"/>
  <c r="AC7"/>
  <c r="AC11"/>
  <c r="AC16"/>
  <c r="AC30"/>
  <c r="AC33"/>
  <c r="AC27"/>
  <c r="AC36"/>
  <c r="AC55"/>
  <c r="AC44"/>
  <c r="AD10"/>
  <c r="AD51"/>
  <c r="AD15"/>
  <c r="AD29"/>
  <c r="AD32"/>
  <c r="AD34"/>
  <c r="AD21"/>
  <c r="AD35"/>
  <c r="AD54"/>
  <c r="AD47"/>
  <c r="AE9"/>
  <c r="AE50"/>
  <c r="AE52"/>
  <c r="AE26"/>
  <c r="AE19"/>
  <c r="AE53"/>
  <c r="AE42"/>
  <c r="AE45"/>
  <c r="AF8"/>
  <c r="AF14"/>
  <c r="AF17"/>
  <c r="AF25"/>
  <c r="AF20"/>
  <c r="AF37"/>
  <c r="AF43"/>
  <c r="AG11"/>
  <c r="AG33"/>
  <c r="AG27"/>
  <c r="AG55"/>
  <c r="AH51"/>
  <c r="AH29"/>
  <c r="AH34"/>
  <c r="AH35"/>
  <c r="AI9"/>
  <c r="AI52"/>
  <c r="AI53"/>
  <c r="AI42"/>
  <c r="AI45"/>
  <c r="AJ14"/>
  <c r="AJ25"/>
  <c r="AJ18"/>
  <c r="AJ28"/>
  <c r="AJ56"/>
  <c r="AK7"/>
  <c r="AK16"/>
  <c r="AK30"/>
  <c r="AK36"/>
  <c r="AK44"/>
  <c r="AL10"/>
  <c r="AL15"/>
  <c r="AL32"/>
  <c r="AL21"/>
  <c r="AL54"/>
  <c r="AL47"/>
  <c r="AM50"/>
  <c r="AM26"/>
  <c r="AM19"/>
  <c r="AN8"/>
  <c r="AN17"/>
  <c r="AN20"/>
  <c r="AN37"/>
  <c r="AN43"/>
  <c r="AO11"/>
  <c r="AO33"/>
  <c r="AO27"/>
  <c r="AO55"/>
  <c r="C8"/>
  <c r="C10"/>
  <c r="C14"/>
  <c r="C51"/>
  <c r="C17"/>
  <c r="C15"/>
  <c r="C25"/>
  <c r="C29"/>
  <c r="C32"/>
  <c r="C77" s="1"/>
  <c r="C18"/>
  <c r="C84" s="1"/>
  <c r="C34"/>
  <c r="C20"/>
  <c r="C21"/>
  <c r="C28"/>
  <c r="C35"/>
  <c r="C37"/>
  <c r="C54"/>
  <c r="C56"/>
  <c r="C39"/>
  <c r="C41"/>
  <c r="C43"/>
  <c r="C47"/>
  <c r="D7"/>
  <c r="D9"/>
  <c r="D11"/>
  <c r="D50"/>
  <c r="D16"/>
  <c r="D78" s="1"/>
  <c r="D52"/>
  <c r="D26"/>
  <c r="D30"/>
  <c r="D33"/>
  <c r="D19"/>
  <c r="D53"/>
  <c r="D27"/>
  <c r="D36"/>
  <c r="D42"/>
  <c r="D55"/>
  <c r="D81" s="1"/>
  <c r="D38"/>
  <c r="D40"/>
  <c r="D44"/>
  <c r="D45"/>
  <c r="D46" s="1"/>
  <c r="E8"/>
  <c r="E10"/>
  <c r="E14"/>
  <c r="E51"/>
  <c r="E17"/>
  <c r="E15"/>
  <c r="E25"/>
  <c r="E29"/>
  <c r="E73" s="1"/>
  <c r="E32"/>
  <c r="E77" s="1"/>
  <c r="E18"/>
  <c r="E84" s="1"/>
  <c r="E34"/>
  <c r="E20"/>
  <c r="E21"/>
  <c r="E28"/>
  <c r="E35"/>
  <c r="E37"/>
  <c r="E54"/>
  <c r="E56"/>
  <c r="E43"/>
  <c r="E47"/>
  <c r="F7"/>
  <c r="F9"/>
  <c r="F11"/>
  <c r="F50"/>
  <c r="F16"/>
  <c r="F52"/>
  <c r="F26"/>
  <c r="F30"/>
  <c r="F33"/>
  <c r="F77" s="1"/>
  <c r="F19"/>
  <c r="F53"/>
  <c r="F27"/>
  <c r="F72" s="1"/>
  <c r="F36"/>
  <c r="F42"/>
  <c r="F55"/>
  <c r="F81" s="1"/>
  <c r="F44"/>
  <c r="F45"/>
  <c r="G8"/>
  <c r="G10"/>
  <c r="G14"/>
  <c r="G51"/>
  <c r="G17"/>
  <c r="G15"/>
  <c r="G25"/>
  <c r="G29"/>
  <c r="G32"/>
  <c r="G18"/>
  <c r="G84" s="1"/>
  <c r="G34"/>
  <c r="G20"/>
  <c r="G21"/>
  <c r="G28"/>
  <c r="G35"/>
  <c r="G37"/>
  <c r="G54"/>
  <c r="G56"/>
  <c r="G43"/>
  <c r="G47"/>
  <c r="H7"/>
  <c r="H9"/>
  <c r="H11"/>
  <c r="H50"/>
  <c r="H16"/>
  <c r="H52"/>
  <c r="H26"/>
  <c r="H30"/>
  <c r="H33"/>
  <c r="H19"/>
  <c r="H53"/>
  <c r="H27"/>
  <c r="H72" s="1"/>
  <c r="H36"/>
  <c r="H42"/>
  <c r="H55"/>
  <c r="H81" s="1"/>
  <c r="H44"/>
  <c r="H45"/>
  <c r="I8"/>
  <c r="I10"/>
  <c r="I14"/>
  <c r="I51"/>
  <c r="I17"/>
  <c r="I15"/>
  <c r="I25"/>
  <c r="I29"/>
  <c r="I32"/>
  <c r="I18"/>
  <c r="I84" s="1"/>
  <c r="I34"/>
  <c r="I20"/>
  <c r="I21"/>
  <c r="I28"/>
  <c r="I35"/>
  <c r="I37"/>
  <c r="I54"/>
  <c r="I56"/>
  <c r="I43"/>
  <c r="I47"/>
  <c r="J7"/>
  <c r="J9"/>
  <c r="J11"/>
  <c r="J50"/>
  <c r="J16"/>
  <c r="J78" s="1"/>
  <c r="J52"/>
  <c r="J26"/>
  <c r="J30"/>
  <c r="J33"/>
  <c r="J19"/>
  <c r="J53"/>
  <c r="J27"/>
  <c r="J36"/>
  <c r="J42"/>
  <c r="J55"/>
  <c r="J81" s="1"/>
  <c r="J44"/>
  <c r="J45"/>
  <c r="J46" s="1"/>
  <c r="K8"/>
  <c r="K10"/>
  <c r="K14"/>
  <c r="K51"/>
  <c r="K17"/>
  <c r="K15"/>
  <c r="K25"/>
  <c r="K29"/>
  <c r="K73" s="1"/>
  <c r="K32"/>
  <c r="K18"/>
  <c r="K84" s="1"/>
  <c r="K34"/>
  <c r="K20"/>
  <c r="K21"/>
  <c r="K28"/>
  <c r="K35"/>
  <c r="K37"/>
  <c r="K54"/>
  <c r="K56"/>
  <c r="K43"/>
  <c r="K47"/>
  <c r="L7"/>
  <c r="L9"/>
  <c r="L11"/>
  <c r="L50"/>
  <c r="L16"/>
  <c r="L78" s="1"/>
  <c r="L52"/>
  <c r="L26"/>
  <c r="L30"/>
  <c r="L33"/>
  <c r="L19"/>
  <c r="L53"/>
  <c r="L27"/>
  <c r="L36"/>
  <c r="L42"/>
  <c r="L55"/>
  <c r="L44"/>
  <c r="L45"/>
  <c r="L46" s="1"/>
  <c r="M8"/>
  <c r="M10"/>
  <c r="M14"/>
  <c r="M51"/>
  <c r="M17"/>
  <c r="M15"/>
  <c r="M25"/>
  <c r="M29"/>
  <c r="M73" s="1"/>
  <c r="M32"/>
  <c r="M18"/>
  <c r="M84" s="1"/>
  <c r="M34"/>
  <c r="M20"/>
  <c r="M21"/>
  <c r="M28"/>
  <c r="M35"/>
  <c r="M37"/>
  <c r="M54"/>
  <c r="M56"/>
  <c r="M43"/>
  <c r="M47"/>
  <c r="N7"/>
  <c r="N9"/>
  <c r="N11"/>
  <c r="N50"/>
  <c r="N16"/>
  <c r="N78" s="1"/>
  <c r="N52"/>
  <c r="N26"/>
  <c r="N30"/>
  <c r="N33"/>
  <c r="N19"/>
  <c r="N53"/>
  <c r="N27"/>
  <c r="N72" s="1"/>
  <c r="N36"/>
  <c r="N42"/>
  <c r="N55"/>
  <c r="N44"/>
  <c r="N45"/>
  <c r="N46"/>
  <c r="O8"/>
  <c r="O10"/>
  <c r="O14"/>
  <c r="O51"/>
  <c r="O17"/>
  <c r="O15"/>
  <c r="O25"/>
  <c r="O29"/>
  <c r="O73" s="1"/>
  <c r="O32"/>
  <c r="O77"/>
  <c r="O18"/>
  <c r="O34"/>
  <c r="O20"/>
  <c r="O21"/>
  <c r="O28"/>
  <c r="O35"/>
  <c r="O37"/>
  <c r="O54"/>
  <c r="O56"/>
  <c r="O43"/>
  <c r="O47"/>
  <c r="P7"/>
  <c r="P9"/>
  <c r="P11"/>
  <c r="P50"/>
  <c r="P16"/>
  <c r="P78" s="1"/>
  <c r="P52"/>
  <c r="P26"/>
  <c r="P30"/>
  <c r="P33"/>
  <c r="P19"/>
  <c r="P53"/>
  <c r="P27"/>
  <c r="P36"/>
  <c r="P42"/>
  <c r="P55"/>
  <c r="P81" s="1"/>
  <c r="P44"/>
  <c r="P45"/>
  <c r="P46" s="1"/>
  <c r="Q8"/>
  <c r="Q10"/>
  <c r="Q14"/>
  <c r="Q51"/>
  <c r="Q17"/>
  <c r="Q15"/>
  <c r="Q25"/>
  <c r="Q29"/>
  <c r="Q73" s="1"/>
  <c r="Q32"/>
  <c r="Q18"/>
  <c r="Q84" s="1"/>
  <c r="Q34"/>
  <c r="Q20"/>
  <c r="Q89" s="1"/>
  <c r="Q21"/>
  <c r="Q28"/>
  <c r="Q35"/>
  <c r="Q37"/>
  <c r="Q54"/>
  <c r="Q56"/>
  <c r="Q43"/>
  <c r="Q47"/>
  <c r="R8"/>
  <c r="R14"/>
  <c r="R17"/>
  <c r="R25"/>
  <c r="R18"/>
  <c r="R20"/>
  <c r="R89" s="1"/>
  <c r="R28"/>
  <c r="R37"/>
  <c r="R56"/>
  <c r="R43"/>
  <c r="S7"/>
  <c r="S11"/>
  <c r="S16"/>
  <c r="S30"/>
  <c r="S33"/>
  <c r="S27"/>
  <c r="S36"/>
  <c r="S55"/>
  <c r="S44"/>
  <c r="T10"/>
  <c r="T51"/>
  <c r="T15"/>
  <c r="T29"/>
  <c r="T32"/>
  <c r="T34"/>
  <c r="T21"/>
  <c r="T35"/>
  <c r="T54"/>
  <c r="T47"/>
  <c r="U9"/>
  <c r="U87" s="1"/>
  <c r="U50"/>
  <c r="U52"/>
  <c r="U26"/>
  <c r="U19"/>
  <c r="U53"/>
  <c r="U42"/>
  <c r="U45"/>
  <c r="V8"/>
  <c r="V14"/>
  <c r="V17"/>
  <c r="V25"/>
  <c r="V20"/>
  <c r="V89" s="1"/>
  <c r="V28"/>
  <c r="V37"/>
  <c r="V56"/>
  <c r="V43"/>
  <c r="W7"/>
  <c r="W11"/>
  <c r="W16"/>
  <c r="W30"/>
  <c r="W33"/>
  <c r="W27"/>
  <c r="W36"/>
  <c r="W55"/>
  <c r="W44"/>
  <c r="X10"/>
  <c r="X51"/>
  <c r="X15"/>
  <c r="X29"/>
  <c r="X32"/>
  <c r="X77" s="1"/>
  <c r="X34"/>
  <c r="X21"/>
  <c r="X35"/>
  <c r="X47"/>
  <c r="X48" s="1"/>
  <c r="Y9"/>
  <c r="Y87" s="1"/>
  <c r="Y50"/>
  <c r="Y52"/>
  <c r="Y26"/>
  <c r="Y19"/>
  <c r="Y53"/>
  <c r="Y42"/>
  <c r="Y45"/>
  <c r="Z8"/>
  <c r="Z14"/>
  <c r="Z17"/>
  <c r="Z25"/>
  <c r="Z18"/>
  <c r="Z20"/>
  <c r="Z89" s="1"/>
  <c r="Z28"/>
  <c r="Z37"/>
  <c r="Z76" s="1"/>
  <c r="Z56"/>
  <c r="Z43"/>
  <c r="AA7"/>
  <c r="AA11"/>
  <c r="AA16"/>
  <c r="AA30"/>
  <c r="AA33"/>
  <c r="AA27"/>
  <c r="AA36"/>
  <c r="AA55"/>
  <c r="AA44"/>
  <c r="AB10"/>
  <c r="AB51"/>
  <c r="AB15"/>
  <c r="AB29"/>
  <c r="AB32"/>
  <c r="AB34"/>
  <c r="AB21"/>
  <c r="AB35"/>
  <c r="AB54"/>
  <c r="AB47"/>
  <c r="AB48"/>
  <c r="AC9"/>
  <c r="AC87"/>
  <c r="AC50"/>
  <c r="AC52"/>
  <c r="AC26"/>
  <c r="AC19"/>
  <c r="AC53"/>
  <c r="AC42"/>
  <c r="AC45"/>
  <c r="AD8"/>
  <c r="AD14"/>
  <c r="AD17"/>
  <c r="AD25"/>
  <c r="AD18"/>
  <c r="AD20"/>
  <c r="AD89"/>
  <c r="AD28"/>
  <c r="AD37"/>
  <c r="AD56"/>
  <c r="AD43"/>
  <c r="AE7"/>
  <c r="AE11"/>
  <c r="AE16"/>
  <c r="AE30"/>
  <c r="AE33"/>
  <c r="AE27"/>
  <c r="AE36"/>
  <c r="AE55"/>
  <c r="AE44"/>
  <c r="AF10"/>
  <c r="AF51"/>
  <c r="AF15"/>
  <c r="AF29"/>
  <c r="AF18"/>
  <c r="AF28"/>
  <c r="AF56"/>
  <c r="AG7"/>
  <c r="AG16"/>
  <c r="AG30"/>
  <c r="AG36"/>
  <c r="AG44"/>
  <c r="AH10"/>
  <c r="AH15"/>
  <c r="AH32"/>
  <c r="AH21"/>
  <c r="AH54"/>
  <c r="AH47"/>
  <c r="AI50"/>
  <c r="AI26"/>
  <c r="AI19"/>
  <c r="AJ8"/>
  <c r="AJ17"/>
  <c r="AJ20"/>
  <c r="AJ37"/>
  <c r="AJ43"/>
  <c r="AK11"/>
  <c r="AK33"/>
  <c r="AK27"/>
  <c r="AK55"/>
  <c r="AL51"/>
  <c r="AL29"/>
  <c r="AL34"/>
  <c r="AL35"/>
  <c r="AM9"/>
  <c r="AM52"/>
  <c r="AM53"/>
  <c r="AM42"/>
  <c r="AM45"/>
  <c r="AN14"/>
  <c r="AN25"/>
  <c r="AN18"/>
  <c r="AN28"/>
  <c r="AN56"/>
  <c r="AO7"/>
  <c r="AO16"/>
  <c r="AO30"/>
  <c r="AO36"/>
  <c r="R7"/>
  <c r="R9"/>
  <c r="R11"/>
  <c r="R50"/>
  <c r="R16"/>
  <c r="R78" s="1"/>
  <c r="R52"/>
  <c r="R26"/>
  <c r="R30"/>
  <c r="R33"/>
  <c r="R77" s="1"/>
  <c r="R19"/>
  <c r="R53"/>
  <c r="R27"/>
  <c r="R72" s="1"/>
  <c r="R36"/>
  <c r="R79" s="1"/>
  <c r="R42"/>
  <c r="R55"/>
  <c r="R81" s="1"/>
  <c r="R44"/>
  <c r="R45"/>
  <c r="S8"/>
  <c r="S10"/>
  <c r="S14"/>
  <c r="S51"/>
  <c r="S17"/>
  <c r="S15"/>
  <c r="S25"/>
  <c r="S29"/>
  <c r="S32"/>
  <c r="S77" s="1"/>
  <c r="S18"/>
  <c r="S34"/>
  <c r="S20"/>
  <c r="S21"/>
  <c r="S28"/>
  <c r="S35"/>
  <c r="S79" s="1"/>
  <c r="S37"/>
  <c r="S54"/>
  <c r="S56"/>
  <c r="S43"/>
  <c r="S47"/>
  <c r="T7"/>
  <c r="T9"/>
  <c r="T11"/>
  <c r="T50"/>
  <c r="T16"/>
  <c r="T78" s="1"/>
  <c r="T52"/>
  <c r="T26"/>
  <c r="T30"/>
  <c r="T33"/>
  <c r="T19"/>
  <c r="T53"/>
  <c r="T27"/>
  <c r="T72" s="1"/>
  <c r="T36"/>
  <c r="T42"/>
  <c r="T55"/>
  <c r="T81" s="1"/>
  <c r="T44"/>
  <c r="T45"/>
  <c r="U8"/>
  <c r="U10"/>
  <c r="U14"/>
  <c r="U51"/>
  <c r="U17"/>
  <c r="U78" s="1"/>
  <c r="U15"/>
  <c r="U25"/>
  <c r="U29"/>
  <c r="U32"/>
  <c r="U77" s="1"/>
  <c r="U18"/>
  <c r="U34"/>
  <c r="U20"/>
  <c r="U21"/>
  <c r="U28"/>
  <c r="U35"/>
  <c r="U76" s="1"/>
  <c r="U37"/>
  <c r="U54"/>
  <c r="U56"/>
  <c r="U43"/>
  <c r="U48" s="1"/>
  <c r="U47"/>
  <c r="V7"/>
  <c r="V9"/>
  <c r="V11"/>
  <c r="V50"/>
  <c r="V16"/>
  <c r="V78" s="1"/>
  <c r="V52"/>
  <c r="V26"/>
  <c r="V30"/>
  <c r="V33"/>
  <c r="V77" s="1"/>
  <c r="V19"/>
  <c r="V53"/>
  <c r="V27"/>
  <c r="V72" s="1"/>
  <c r="V36"/>
  <c r="V79" s="1"/>
  <c r="V42"/>
  <c r="V55"/>
  <c r="V81" s="1"/>
  <c r="V44"/>
  <c r="V45"/>
  <c r="W8"/>
  <c r="W86" s="1"/>
  <c r="W10"/>
  <c r="W14"/>
  <c r="W51"/>
  <c r="W17"/>
  <c r="W15"/>
  <c r="W25"/>
  <c r="W29"/>
  <c r="W32"/>
  <c r="W77" s="1"/>
  <c r="W18"/>
  <c r="W34"/>
  <c r="W20"/>
  <c r="W21"/>
  <c r="W28"/>
  <c r="W35"/>
  <c r="W37"/>
  <c r="W54"/>
  <c r="W56"/>
  <c r="W43"/>
  <c r="W47"/>
  <c r="X7"/>
  <c r="X9"/>
  <c r="X11"/>
  <c r="X50"/>
  <c r="X16"/>
  <c r="X78" s="1"/>
  <c r="X52"/>
  <c r="X26"/>
  <c r="X30"/>
  <c r="X33"/>
  <c r="X19"/>
  <c r="X53"/>
  <c r="X27"/>
  <c r="X72" s="1"/>
  <c r="X36"/>
  <c r="X79" s="1"/>
  <c r="X55"/>
  <c r="X81" s="1"/>
  <c r="X44"/>
  <c r="X45"/>
  <c r="X46" s="1"/>
  <c r="Y8"/>
  <c r="Y10"/>
  <c r="Y14"/>
  <c r="Y51"/>
  <c r="Y17"/>
  <c r="Y15"/>
  <c r="Y25"/>
  <c r="Y29"/>
  <c r="Y73" s="1"/>
  <c r="Y32"/>
  <c r="Y77" s="1"/>
  <c r="Y18"/>
  <c r="Y84" s="1"/>
  <c r="Y34"/>
  <c r="Y20"/>
  <c r="Y21"/>
  <c r="Y28"/>
  <c r="Y35"/>
  <c r="Y37"/>
  <c r="Y54"/>
  <c r="Y56"/>
  <c r="Y43"/>
  <c r="Y47"/>
  <c r="Z7"/>
  <c r="Z9"/>
  <c r="Z11"/>
  <c r="Z50"/>
  <c r="Z16"/>
  <c r="Z52"/>
  <c r="Z26"/>
  <c r="Z30"/>
  <c r="Z33"/>
  <c r="Z19"/>
  <c r="Z53"/>
  <c r="Z27"/>
  <c r="Z72" s="1"/>
  <c r="Z36"/>
  <c r="Z42"/>
  <c r="Z55"/>
  <c r="Z81" s="1"/>
  <c r="Z44"/>
  <c r="Z45"/>
  <c r="AA8"/>
  <c r="AA86" s="1"/>
  <c r="AA10"/>
  <c r="AA14"/>
  <c r="AA51"/>
  <c r="AA17"/>
  <c r="AA78" s="1"/>
  <c r="AA15"/>
  <c r="AA25"/>
  <c r="AA29"/>
  <c r="AA32"/>
  <c r="AA77" s="1"/>
  <c r="AA18"/>
  <c r="AA84" s="1"/>
  <c r="AA34"/>
  <c r="AA20"/>
  <c r="AA21"/>
  <c r="AA28"/>
  <c r="AA35"/>
  <c r="AA79" s="1"/>
  <c r="AA37"/>
  <c r="AA54"/>
  <c r="AA56"/>
  <c r="AA43"/>
  <c r="AA47"/>
  <c r="AB7"/>
  <c r="AB9"/>
  <c r="AB11"/>
  <c r="AB50"/>
  <c r="AB16"/>
  <c r="AB78" s="1"/>
  <c r="AB52"/>
  <c r="AB26"/>
  <c r="AB30"/>
  <c r="AB33"/>
  <c r="AB19"/>
  <c r="AB53"/>
  <c r="AB27"/>
  <c r="AB72" s="1"/>
  <c r="AB36"/>
  <c r="AB42"/>
  <c r="AB55"/>
  <c r="AB81" s="1"/>
  <c r="AB44"/>
  <c r="AB45"/>
  <c r="AB46" s="1"/>
  <c r="AC8"/>
  <c r="AC10"/>
  <c r="AC14"/>
  <c r="AC51"/>
  <c r="AC17"/>
  <c r="AC15"/>
  <c r="AC25"/>
  <c r="AC29"/>
  <c r="AC73" s="1"/>
  <c r="AC32"/>
  <c r="AC77" s="1"/>
  <c r="AC18"/>
  <c r="AC34"/>
  <c r="AC20"/>
  <c r="AC21"/>
  <c r="AC28"/>
  <c r="AC35"/>
  <c r="AC37"/>
  <c r="AC54"/>
  <c r="AC56"/>
  <c r="AC43"/>
  <c r="AC47"/>
  <c r="AD7"/>
  <c r="AD9"/>
  <c r="AD11"/>
  <c r="AD50"/>
  <c r="AD16"/>
  <c r="AD52"/>
  <c r="AD26"/>
  <c r="AD30"/>
  <c r="AD33"/>
  <c r="AD19"/>
  <c r="AD53"/>
  <c r="AD27"/>
  <c r="AD72" s="1"/>
  <c r="AD36"/>
  <c r="AD79" s="1"/>
  <c r="AD42"/>
  <c r="AD55"/>
  <c r="AD81" s="1"/>
  <c r="AD44"/>
  <c r="AD45"/>
  <c r="AE8"/>
  <c r="AE10"/>
  <c r="AE14"/>
  <c r="AE13" s="1"/>
  <c r="AE12" s="1"/>
  <c r="AE51"/>
  <c r="AE17"/>
  <c r="AE15"/>
  <c r="AE25"/>
  <c r="AE71" s="1"/>
  <c r="AE29"/>
  <c r="AE32"/>
  <c r="AE18"/>
  <c r="AE34"/>
  <c r="AE20"/>
  <c r="AE21"/>
  <c r="AE28"/>
  <c r="AE35"/>
  <c r="AE79" s="1"/>
  <c r="AE37"/>
  <c r="AE54"/>
  <c r="AE56"/>
  <c r="AE43"/>
  <c r="AE47"/>
  <c r="AF7"/>
  <c r="AF86" s="1"/>
  <c r="AF9"/>
  <c r="AF11"/>
  <c r="AF50"/>
  <c r="AF16"/>
  <c r="AF78" s="1"/>
  <c r="AF52"/>
  <c r="AF26"/>
  <c r="AF30"/>
  <c r="AF32"/>
  <c r="AF34"/>
  <c r="AF21"/>
  <c r="AF35"/>
  <c r="AF76" s="1"/>
  <c r="AF54"/>
  <c r="AF47"/>
  <c r="AF48" s="1"/>
  <c r="AG9"/>
  <c r="AG87" s="1"/>
  <c r="AG50"/>
  <c r="AG52"/>
  <c r="AG26"/>
  <c r="AG19"/>
  <c r="AG53"/>
  <c r="AG42"/>
  <c r="AG45"/>
  <c r="AH8"/>
  <c r="AH14"/>
  <c r="AH17"/>
  <c r="AH25"/>
  <c r="AH18"/>
  <c r="AH20"/>
  <c r="AH28"/>
  <c r="AH37"/>
  <c r="AH76" s="1"/>
  <c r="AH56"/>
  <c r="AH43"/>
  <c r="AI7"/>
  <c r="AI86" s="1"/>
  <c r="AI11"/>
  <c r="AI87" s="1"/>
  <c r="AI16"/>
  <c r="AI30"/>
  <c r="AI33"/>
  <c r="AI27"/>
  <c r="AI36"/>
  <c r="AI55"/>
  <c r="AI44"/>
  <c r="AJ10"/>
  <c r="AJ51"/>
  <c r="AJ15"/>
  <c r="AJ29"/>
  <c r="AJ32"/>
  <c r="AJ34"/>
  <c r="AJ21"/>
  <c r="AJ35"/>
  <c r="AJ79" s="1"/>
  <c r="AJ54"/>
  <c r="AJ47"/>
  <c r="AJ48" s="1"/>
  <c r="AK9"/>
  <c r="AK50"/>
  <c r="AK52"/>
  <c r="AK26"/>
  <c r="AK19"/>
  <c r="AK53"/>
  <c r="AK42"/>
  <c r="AK45"/>
  <c r="AL8"/>
  <c r="AL14"/>
  <c r="AL13" s="1"/>
  <c r="AL12" s="1"/>
  <c r="AL17"/>
  <c r="AL25"/>
  <c r="AL18"/>
  <c r="AL20"/>
  <c r="AL89" s="1"/>
  <c r="AL28"/>
  <c r="AL37"/>
  <c r="AL56"/>
  <c r="AL43"/>
  <c r="AM7"/>
  <c r="AM11"/>
  <c r="AM16"/>
  <c r="AM30"/>
  <c r="AM33"/>
  <c r="AM27"/>
  <c r="AM36"/>
  <c r="AM55"/>
  <c r="AM44"/>
  <c r="AN10"/>
  <c r="AN51"/>
  <c r="AN15"/>
  <c r="AN29"/>
  <c r="AN32"/>
  <c r="AN77" s="1"/>
  <c r="AN34"/>
  <c r="AN21"/>
  <c r="AN35"/>
  <c r="AN54"/>
  <c r="AN47"/>
  <c r="AN48" s="1"/>
  <c r="AO9"/>
  <c r="AO50"/>
  <c r="AO52"/>
  <c r="AO26"/>
  <c r="AO19"/>
  <c r="AO53"/>
  <c r="AO42"/>
  <c r="AO45"/>
  <c r="AF33"/>
  <c r="AF19"/>
  <c r="AF53"/>
  <c r="AF27"/>
  <c r="AF72" s="1"/>
  <c r="AF36"/>
  <c r="AF79" s="1"/>
  <c r="AF42"/>
  <c r="AF55"/>
  <c r="AF44"/>
  <c r="AF45"/>
  <c r="AF46" s="1"/>
  <c r="AG8"/>
  <c r="AG10"/>
  <c r="AG14"/>
  <c r="AG51"/>
  <c r="AG17"/>
  <c r="AG15"/>
  <c r="AG25"/>
  <c r="AG29"/>
  <c r="AG73" s="1"/>
  <c r="AG32"/>
  <c r="AG77" s="1"/>
  <c r="AG18"/>
  <c r="AG84" s="1"/>
  <c r="AG34"/>
  <c r="AG20"/>
  <c r="AG21"/>
  <c r="AG28"/>
  <c r="AG35"/>
  <c r="AG37"/>
  <c r="AG54"/>
  <c r="AG56"/>
  <c r="AG43"/>
  <c r="AG47"/>
  <c r="AH7"/>
  <c r="AH9"/>
  <c r="AH87" s="1"/>
  <c r="AH11"/>
  <c r="AH50"/>
  <c r="AH16"/>
  <c r="AH26"/>
  <c r="AH30"/>
  <c r="AH33"/>
  <c r="AH19"/>
  <c r="AH53"/>
  <c r="AH27"/>
  <c r="AH36"/>
  <c r="AH79" s="1"/>
  <c r="AH42"/>
  <c r="AH55"/>
  <c r="AH81" s="1"/>
  <c r="AH44"/>
  <c r="AH45"/>
  <c r="AI8"/>
  <c r="AI10"/>
  <c r="AI14"/>
  <c r="AI51"/>
  <c r="AI17"/>
  <c r="AI15"/>
  <c r="AI25"/>
  <c r="AI29"/>
  <c r="AI32"/>
  <c r="AI18"/>
  <c r="AI84" s="1"/>
  <c r="AI34"/>
  <c r="AI20"/>
  <c r="AI21"/>
  <c r="AI28"/>
  <c r="AI35"/>
  <c r="AI37"/>
  <c r="AI54"/>
  <c r="AI56"/>
  <c r="AI43"/>
  <c r="AI47"/>
  <c r="AJ9"/>
  <c r="AJ11"/>
  <c r="AJ50"/>
  <c r="AJ16"/>
  <c r="AJ78" s="1"/>
  <c r="AJ52"/>
  <c r="AJ26"/>
  <c r="AJ71" s="1"/>
  <c r="AJ30"/>
  <c r="AJ33"/>
  <c r="AJ19"/>
  <c r="AJ53"/>
  <c r="AJ27"/>
  <c r="AJ72" s="1"/>
  <c r="AJ36"/>
  <c r="AJ42"/>
  <c r="AJ55"/>
  <c r="AJ81" s="1"/>
  <c r="AJ44"/>
  <c r="AJ45"/>
  <c r="AJ46" s="1"/>
  <c r="AK8"/>
  <c r="AK86" s="1"/>
  <c r="AK10"/>
  <c r="AK14"/>
  <c r="AK51"/>
  <c r="AK17"/>
  <c r="AK15"/>
  <c r="AK25"/>
  <c r="AK29"/>
  <c r="AK73" s="1"/>
  <c r="AK32"/>
  <c r="AK77" s="1"/>
  <c r="AK18"/>
  <c r="AK34"/>
  <c r="AK20"/>
  <c r="AK89" s="1"/>
  <c r="AK21"/>
  <c r="AK28"/>
  <c r="AK35"/>
  <c r="AK37"/>
  <c r="AK54"/>
  <c r="AK56"/>
  <c r="AK43"/>
  <c r="AK47"/>
  <c r="AL7"/>
  <c r="AL9"/>
  <c r="AL11"/>
  <c r="AL50"/>
  <c r="AL16"/>
  <c r="AL78" s="1"/>
  <c r="AL52"/>
  <c r="AL26"/>
  <c r="AL30"/>
  <c r="AL33"/>
  <c r="AL77" s="1"/>
  <c r="AL19"/>
  <c r="AL53"/>
  <c r="AL27"/>
  <c r="AL72" s="1"/>
  <c r="AL36"/>
  <c r="AL79" s="1"/>
  <c r="AL42"/>
  <c r="AL55"/>
  <c r="AL44"/>
  <c r="AL45"/>
  <c r="AL46" s="1"/>
  <c r="AM8"/>
  <c r="AM10"/>
  <c r="AM14"/>
  <c r="AM51"/>
  <c r="AM17"/>
  <c r="AM15"/>
  <c r="AM25"/>
  <c r="AM71" s="1"/>
  <c r="AM29"/>
  <c r="AM32"/>
  <c r="AM77" s="1"/>
  <c r="AM18"/>
  <c r="AM84" s="1"/>
  <c r="AM34"/>
  <c r="AM20"/>
  <c r="AM21"/>
  <c r="AM28"/>
  <c r="AM35"/>
  <c r="AM37"/>
  <c r="AM54"/>
  <c r="AM56"/>
  <c r="AM43"/>
  <c r="AM47"/>
  <c r="AN7"/>
  <c r="AN9"/>
  <c r="AN11"/>
  <c r="AN50"/>
  <c r="AN16"/>
  <c r="AN78" s="1"/>
  <c r="AN52"/>
  <c r="AN26"/>
  <c r="AN30"/>
  <c r="AN33"/>
  <c r="AN19"/>
  <c r="AN53"/>
  <c r="AN27"/>
  <c r="AN36"/>
  <c r="AN42"/>
  <c r="AN55"/>
  <c r="AN81" s="1"/>
  <c r="AN44"/>
  <c r="AN45"/>
  <c r="AN46" s="1"/>
  <c r="AO8"/>
  <c r="AO86" s="1"/>
  <c r="AO10"/>
  <c r="AO14"/>
  <c r="AO51"/>
  <c r="AO17"/>
  <c r="AO15"/>
  <c r="AO25"/>
  <c r="AO29"/>
  <c r="AO73" s="1"/>
  <c r="AO32"/>
  <c r="AO77" s="1"/>
  <c r="AO18"/>
  <c r="AO34"/>
  <c r="AO20"/>
  <c r="AO21"/>
  <c r="AO28"/>
  <c r="AO35"/>
  <c r="AO79" s="1"/>
  <c r="AO37"/>
  <c r="AO54"/>
  <c r="AO56"/>
  <c r="AO43"/>
  <c r="AO47"/>
  <c r="F55" i="1"/>
  <c r="G53"/>
  <c r="J55"/>
  <c r="K53"/>
  <c r="C53"/>
  <c r="D55"/>
  <c r="E53"/>
  <c r="H55"/>
  <c r="I53"/>
  <c r="L55"/>
  <c r="M53"/>
  <c r="N55"/>
  <c r="O53"/>
  <c r="P55"/>
  <c r="Q53"/>
  <c r="R55"/>
  <c r="S53"/>
  <c r="V55"/>
  <c r="W53"/>
  <c r="Z55"/>
  <c r="AA53"/>
  <c r="AD55"/>
  <c r="AE53"/>
  <c r="AI53"/>
  <c r="AL55"/>
  <c r="C55"/>
  <c r="D53"/>
  <c r="E55"/>
  <c r="F53"/>
  <c r="G55"/>
  <c r="H53"/>
  <c r="I55"/>
  <c r="J53"/>
  <c r="K55"/>
  <c r="L53"/>
  <c r="M55"/>
  <c r="N53"/>
  <c r="O55"/>
  <c r="P53"/>
  <c r="Q55"/>
  <c r="T55"/>
  <c r="U53"/>
  <c r="X55"/>
  <c r="Y53"/>
  <c r="AB55"/>
  <c r="AC53"/>
  <c r="AH55"/>
  <c r="AM53"/>
  <c r="R53"/>
  <c r="S55"/>
  <c r="T53"/>
  <c r="U55"/>
  <c r="V53"/>
  <c r="W55"/>
  <c r="X53"/>
  <c r="Y55"/>
  <c r="Z53"/>
  <c r="AA55"/>
  <c r="AB53"/>
  <c r="AC55"/>
  <c r="AD53"/>
  <c r="AE55"/>
  <c r="AF55"/>
  <c r="AG53"/>
  <c r="AJ55"/>
  <c r="AK53"/>
  <c r="AN55"/>
  <c r="AO53"/>
  <c r="AF53"/>
  <c r="AG55"/>
  <c r="AH53"/>
  <c r="AI55"/>
  <c r="AJ53"/>
  <c r="AK55"/>
  <c r="AL53"/>
  <c r="AM55"/>
  <c r="AN53"/>
  <c r="AO55"/>
  <c r="L83" i="12"/>
  <c r="AO78"/>
  <c r="AM73"/>
  <c r="AL87"/>
  <c r="AK78"/>
  <c r="AJ77"/>
  <c r="AH77"/>
  <c r="AG89"/>
  <c r="AF77"/>
  <c r="AE78"/>
  <c r="AD46"/>
  <c r="AD76"/>
  <c r="AD77"/>
  <c r="AD87"/>
  <c r="AC79"/>
  <c r="AC89"/>
  <c r="AC78"/>
  <c r="AB79"/>
  <c r="AB76"/>
  <c r="AB77"/>
  <c r="AA76"/>
  <c r="Z79"/>
  <c r="Z31"/>
  <c r="Z77"/>
  <c r="Z78"/>
  <c r="Y48"/>
  <c r="Y79"/>
  <c r="Y76"/>
  <c r="Y78"/>
  <c r="X76"/>
  <c r="W79"/>
  <c r="W78"/>
  <c r="V76"/>
  <c r="V87"/>
  <c r="U79"/>
  <c r="U89"/>
  <c r="T79"/>
  <c r="T76"/>
  <c r="T77"/>
  <c r="S76"/>
  <c r="S84"/>
  <c r="S78"/>
  <c r="R76"/>
  <c r="R87"/>
  <c r="Q79"/>
  <c r="Q76"/>
  <c r="Q78"/>
  <c r="Q87"/>
  <c r="P48"/>
  <c r="P79"/>
  <c r="P76"/>
  <c r="P89"/>
  <c r="P77"/>
  <c r="P87"/>
  <c r="O48"/>
  <c r="O79"/>
  <c r="O76"/>
  <c r="O89"/>
  <c r="O78"/>
  <c r="N79"/>
  <c r="N76"/>
  <c r="N77"/>
  <c r="M79"/>
  <c r="M76"/>
  <c r="M78"/>
  <c r="M87"/>
  <c r="L81"/>
  <c r="L79"/>
  <c r="L76"/>
  <c r="L77"/>
  <c r="L87"/>
  <c r="K48"/>
  <c r="K79"/>
  <c r="K76"/>
  <c r="K89"/>
  <c r="K78"/>
  <c r="J79"/>
  <c r="J76"/>
  <c r="J77"/>
  <c r="I76"/>
  <c r="I73"/>
  <c r="I78"/>
  <c r="H46"/>
  <c r="H79"/>
  <c r="H76"/>
  <c r="H77"/>
  <c r="H87"/>
  <c r="G48"/>
  <c r="G79"/>
  <c r="G76"/>
  <c r="G89"/>
  <c r="G77"/>
  <c r="G78"/>
  <c r="F79"/>
  <c r="F76"/>
  <c r="E79"/>
  <c r="E76"/>
  <c r="E78"/>
  <c r="D79"/>
  <c r="D76"/>
  <c r="D77"/>
  <c r="D87"/>
  <c r="C48"/>
  <c r="C79"/>
  <c r="C76"/>
  <c r="C89"/>
  <c r="C78"/>
  <c r="AN86"/>
  <c r="AM31"/>
  <c r="AM13"/>
  <c r="AM12" s="1"/>
  <c r="AI80"/>
  <c r="AI31"/>
  <c r="AI88"/>
  <c r="AL24"/>
  <c r="AL88"/>
  <c r="AI6"/>
  <c r="AF6"/>
  <c r="AE31"/>
  <c r="AE24"/>
  <c r="AB86"/>
  <c r="AA80"/>
  <c r="AA31"/>
  <c r="AA71"/>
  <c r="AA24"/>
  <c r="AA83"/>
  <c r="X6"/>
  <c r="X86"/>
  <c r="W80"/>
  <c r="W31"/>
  <c r="W71"/>
  <c r="W24"/>
  <c r="W83"/>
  <c r="W13"/>
  <c r="W12" s="1"/>
  <c r="W88"/>
  <c r="T86"/>
  <c r="T6"/>
  <c r="S80"/>
  <c r="T75"/>
  <c r="S31"/>
  <c r="S24"/>
  <c r="S71"/>
  <c r="S88"/>
  <c r="S13"/>
  <c r="S12"/>
  <c r="S83"/>
  <c r="AO6"/>
  <c r="AO39" s="1"/>
  <c r="AN71"/>
  <c r="AH31"/>
  <c r="AD71"/>
  <c r="AD24"/>
  <c r="AD88"/>
  <c r="AD13"/>
  <c r="AC75"/>
  <c r="AB80"/>
  <c r="AA6"/>
  <c r="X31"/>
  <c r="V24"/>
  <c r="V71"/>
  <c r="V88"/>
  <c r="T80"/>
  <c r="U75"/>
  <c r="S86"/>
  <c r="S6"/>
  <c r="S23"/>
  <c r="Q80"/>
  <c r="R75"/>
  <c r="Q31"/>
  <c r="Q71"/>
  <c r="Q24"/>
  <c r="Q13"/>
  <c r="Q23" s="1"/>
  <c r="Q83"/>
  <c r="Q88"/>
  <c r="N6"/>
  <c r="N86"/>
  <c r="M80"/>
  <c r="N75"/>
  <c r="M31"/>
  <c r="M71"/>
  <c r="M24"/>
  <c r="M13"/>
  <c r="M12" s="1"/>
  <c r="M88"/>
  <c r="M83"/>
  <c r="J86"/>
  <c r="J6"/>
  <c r="J75"/>
  <c r="I80"/>
  <c r="I31"/>
  <c r="I71"/>
  <c r="I24"/>
  <c r="I88"/>
  <c r="I13"/>
  <c r="I12" s="1"/>
  <c r="I83"/>
  <c r="F6"/>
  <c r="F86"/>
  <c r="F75"/>
  <c r="E80"/>
  <c r="E31"/>
  <c r="E71"/>
  <c r="E24"/>
  <c r="E83"/>
  <c r="E88"/>
  <c r="E13"/>
  <c r="E12" s="1"/>
  <c r="AK6"/>
  <c r="AJ24"/>
  <c r="AF71"/>
  <c r="AF24"/>
  <c r="AF88"/>
  <c r="AF83"/>
  <c r="AF13"/>
  <c r="AF12" s="1"/>
  <c r="AF22" s="1"/>
  <c r="AD80"/>
  <c r="AE75"/>
  <c r="AC6"/>
  <c r="AC86"/>
  <c r="X71"/>
  <c r="X24"/>
  <c r="X88"/>
  <c r="X13"/>
  <c r="X12" s="1"/>
  <c r="X83"/>
  <c r="V80"/>
  <c r="W75"/>
  <c r="U86"/>
  <c r="U6"/>
  <c r="R31"/>
  <c r="O86"/>
  <c r="O6"/>
  <c r="O75"/>
  <c r="N80"/>
  <c r="N31"/>
  <c r="N24"/>
  <c r="N71"/>
  <c r="N88"/>
  <c r="N13"/>
  <c r="N12" s="1"/>
  <c r="N83"/>
  <c r="L31"/>
  <c r="J24"/>
  <c r="J71"/>
  <c r="J88"/>
  <c r="J83"/>
  <c r="J13"/>
  <c r="J12" s="1"/>
  <c r="I75"/>
  <c r="H80"/>
  <c r="G86"/>
  <c r="D24"/>
  <c r="D71"/>
  <c r="D88"/>
  <c r="D13"/>
  <c r="D12" s="1"/>
  <c r="D83"/>
  <c r="M86"/>
  <c r="M6"/>
  <c r="J31"/>
  <c r="H24"/>
  <c r="H71"/>
  <c r="H13"/>
  <c r="H12" s="1"/>
  <c r="H88"/>
  <c r="H83"/>
  <c r="F80"/>
  <c r="G75"/>
  <c r="E86"/>
  <c r="E6"/>
  <c r="D80"/>
  <c r="E75"/>
  <c r="AM81"/>
  <c r="AM72"/>
  <c r="AK46"/>
  <c r="AJ73"/>
  <c r="AH84"/>
  <c r="AM46"/>
  <c r="AM87"/>
  <c r="AK72"/>
  <c r="AF81"/>
  <c r="AF84"/>
  <c r="AE81"/>
  <c r="AE72"/>
  <c r="AC46"/>
  <c r="AB73"/>
  <c r="Z84"/>
  <c r="W81"/>
  <c r="W72"/>
  <c r="U46"/>
  <c r="T73"/>
  <c r="R84"/>
  <c r="AO81"/>
  <c r="AN89"/>
  <c r="AL48"/>
  <c r="AI46"/>
  <c r="AG72"/>
  <c r="AE46"/>
  <c r="AD48"/>
  <c r="AD73"/>
  <c r="AB84"/>
  <c r="AA87"/>
  <c r="Y81"/>
  <c r="Y72"/>
  <c r="X89"/>
  <c r="W46"/>
  <c r="V48"/>
  <c r="V73"/>
  <c r="T84"/>
  <c r="S87"/>
  <c r="Q72"/>
  <c r="P84"/>
  <c r="P73"/>
  <c r="O46"/>
  <c r="O81"/>
  <c r="M72"/>
  <c r="K81"/>
  <c r="K72"/>
  <c r="I46"/>
  <c r="H73"/>
  <c r="F84"/>
  <c r="C46"/>
  <c r="C81"/>
  <c r="C72"/>
  <c r="L84"/>
  <c r="K87"/>
  <c r="I81"/>
  <c r="I72"/>
  <c r="H89"/>
  <c r="G46"/>
  <c r="F48"/>
  <c r="F73"/>
  <c r="D73"/>
  <c r="C87"/>
  <c r="AO80"/>
  <c r="AO31"/>
  <c r="AO71"/>
  <c r="AO24"/>
  <c r="AO13"/>
  <c r="AO12" s="1"/>
  <c r="AO88"/>
  <c r="AO83"/>
  <c r="AL6"/>
  <c r="AL86"/>
  <c r="AK80"/>
  <c r="AL75"/>
  <c r="AK31"/>
  <c r="AK71"/>
  <c r="AK24"/>
  <c r="AK83"/>
  <c r="AK88"/>
  <c r="AK13"/>
  <c r="AK12" s="1"/>
  <c r="AH6"/>
  <c r="AH38" s="1"/>
  <c r="AH86"/>
  <c r="AH75"/>
  <c r="AG80"/>
  <c r="AG31"/>
  <c r="AG71"/>
  <c r="AG24"/>
  <c r="AG83"/>
  <c r="AG13"/>
  <c r="AG12" s="1"/>
  <c r="AG88"/>
  <c r="AO75"/>
  <c r="AN80"/>
  <c r="AM6"/>
  <c r="AM41" s="1"/>
  <c r="AM86"/>
  <c r="AM23"/>
  <c r="AJ31"/>
  <c r="AH71"/>
  <c r="AH13"/>
  <c r="AH12" s="1"/>
  <c r="AH88"/>
  <c r="AF80"/>
  <c r="AG75"/>
  <c r="AD6"/>
  <c r="AD86"/>
  <c r="AD75"/>
  <c r="AC80"/>
  <c r="AC31"/>
  <c r="AC71"/>
  <c r="AC24"/>
  <c r="AC88"/>
  <c r="AC13"/>
  <c r="AC12" s="1"/>
  <c r="Z86"/>
  <c r="Z6"/>
  <c r="Y80"/>
  <c r="Z75"/>
  <c r="Y31"/>
  <c r="Y71"/>
  <c r="Y24"/>
  <c r="Y88"/>
  <c r="Y13"/>
  <c r="Y23" s="1"/>
  <c r="Y83"/>
  <c r="V86"/>
  <c r="V6"/>
  <c r="V38" s="1"/>
  <c r="U80"/>
  <c r="V75"/>
  <c r="U31"/>
  <c r="U71"/>
  <c r="U24"/>
  <c r="U88"/>
  <c r="U13"/>
  <c r="U12" s="1"/>
  <c r="U83"/>
  <c r="R6"/>
  <c r="R39" s="1"/>
  <c r="R86"/>
  <c r="AN13"/>
  <c r="AN12" s="1"/>
  <c r="AN83"/>
  <c r="AN88"/>
  <c r="AL80"/>
  <c r="AG6"/>
  <c r="AG40" s="1"/>
  <c r="AG86"/>
  <c r="AE86"/>
  <c r="AE6"/>
  <c r="AE38" s="1"/>
  <c r="AB31"/>
  <c r="Z71"/>
  <c r="Z24"/>
  <c r="Z13"/>
  <c r="Z12" s="1"/>
  <c r="Z88"/>
  <c r="Z83"/>
  <c r="Y75"/>
  <c r="X80"/>
  <c r="W6"/>
  <c r="W66" s="1"/>
  <c r="T31"/>
  <c r="R24"/>
  <c r="R71"/>
  <c r="R13"/>
  <c r="R12" s="1"/>
  <c r="R88"/>
  <c r="P6"/>
  <c r="P38" s="1"/>
  <c r="P86"/>
  <c r="P75"/>
  <c r="O80"/>
  <c r="O31"/>
  <c r="O71"/>
  <c r="O24"/>
  <c r="O88"/>
  <c r="O13"/>
  <c r="O12" s="1"/>
  <c r="O83"/>
  <c r="L86"/>
  <c r="L6"/>
  <c r="L41" s="1"/>
  <c r="K80"/>
  <c r="L75"/>
  <c r="K31"/>
  <c r="K71"/>
  <c r="K24"/>
  <c r="K88"/>
  <c r="K13"/>
  <c r="K12" s="1"/>
  <c r="K22" s="1"/>
  <c r="K83"/>
  <c r="H6"/>
  <c r="H39" s="1"/>
  <c r="H86"/>
  <c r="G80"/>
  <c r="H75"/>
  <c r="G31"/>
  <c r="G71"/>
  <c r="G24"/>
  <c r="G88"/>
  <c r="G13"/>
  <c r="G12" s="1"/>
  <c r="G83"/>
  <c r="D6"/>
  <c r="D86"/>
  <c r="D23"/>
  <c r="D75"/>
  <c r="C80"/>
  <c r="C31"/>
  <c r="C24"/>
  <c r="C71"/>
  <c r="C88"/>
  <c r="C13"/>
  <c r="C12" s="1"/>
  <c r="C22" s="1"/>
  <c r="C68" s="1"/>
  <c r="C83"/>
  <c r="AL31"/>
  <c r="AJ88"/>
  <c r="AJ13"/>
  <c r="AJ12" s="1"/>
  <c r="AJ83"/>
  <c r="AH80"/>
  <c r="AI75"/>
  <c r="AD31"/>
  <c r="AB71"/>
  <c r="AB24"/>
  <c r="AB13"/>
  <c r="AB12" s="1"/>
  <c r="AB83"/>
  <c r="AB88"/>
  <c r="Z80"/>
  <c r="AA75"/>
  <c r="Y6"/>
  <c r="Y41" s="1"/>
  <c r="Y86"/>
  <c r="V31"/>
  <c r="T24"/>
  <c r="T71"/>
  <c r="T88"/>
  <c r="T13"/>
  <c r="T23" s="1"/>
  <c r="T83"/>
  <c r="S75"/>
  <c r="R80"/>
  <c r="Q6"/>
  <c r="Q38" s="1"/>
  <c r="Q86"/>
  <c r="Q75"/>
  <c r="P80"/>
  <c r="P31"/>
  <c r="P24"/>
  <c r="P71"/>
  <c r="P83"/>
  <c r="P88"/>
  <c r="P13"/>
  <c r="P12" s="1"/>
  <c r="P22" s="1"/>
  <c r="L80"/>
  <c r="M75"/>
  <c r="K6"/>
  <c r="K41" s="1"/>
  <c r="K86"/>
  <c r="K23"/>
  <c r="H31"/>
  <c r="F24"/>
  <c r="F71"/>
  <c r="F13"/>
  <c r="F12" s="1"/>
  <c r="F83"/>
  <c r="F88"/>
  <c r="C86"/>
  <c r="C6"/>
  <c r="L71"/>
  <c r="L24"/>
  <c r="L13"/>
  <c r="L12" s="1"/>
  <c r="L88"/>
  <c r="K75"/>
  <c r="J80"/>
  <c r="I6"/>
  <c r="I39" s="1"/>
  <c r="I86"/>
  <c r="I23"/>
  <c r="F31"/>
  <c r="D31"/>
  <c r="AN87"/>
  <c r="AM48"/>
  <c r="AM89"/>
  <c r="AJ87"/>
  <c r="AI48"/>
  <c r="AI89"/>
  <c r="AO46"/>
  <c r="AN73"/>
  <c r="AL84"/>
  <c r="AI81"/>
  <c r="AI72"/>
  <c r="AG46"/>
  <c r="AF87"/>
  <c r="AE48"/>
  <c r="AB87"/>
  <c r="AA48"/>
  <c r="AA89"/>
  <c r="X87"/>
  <c r="W48"/>
  <c r="W89"/>
  <c r="T87"/>
  <c r="S48"/>
  <c r="S89"/>
  <c r="AN84"/>
  <c r="AL73"/>
  <c r="AK81"/>
  <c r="AJ89"/>
  <c r="AH48"/>
  <c r="AH89"/>
  <c r="AF73"/>
  <c r="AD84"/>
  <c r="AA81"/>
  <c r="AA72"/>
  <c r="Y46"/>
  <c r="X73"/>
  <c r="S81"/>
  <c r="S72"/>
  <c r="Q48"/>
  <c r="N87"/>
  <c r="M48"/>
  <c r="M89"/>
  <c r="J87"/>
  <c r="I48"/>
  <c r="I89"/>
  <c r="F87"/>
  <c r="E48"/>
  <c r="E89"/>
  <c r="AO72"/>
  <c r="AJ84"/>
  <c r="AH73"/>
  <c r="AG81"/>
  <c r="AF89"/>
  <c r="AE87"/>
  <c r="AC81"/>
  <c r="AC72"/>
  <c r="AB89"/>
  <c r="AA46"/>
  <c r="Z48"/>
  <c r="Z73"/>
  <c r="X84"/>
  <c r="W87"/>
  <c r="U81"/>
  <c r="U72"/>
  <c r="T89"/>
  <c r="S46"/>
  <c r="R48"/>
  <c r="R73"/>
  <c r="Q46"/>
  <c r="Q81"/>
  <c r="O72"/>
  <c r="O87"/>
  <c r="N48"/>
  <c r="N89"/>
  <c r="N84"/>
  <c r="N73"/>
  <c r="M46"/>
  <c r="M81"/>
  <c r="L73"/>
  <c r="J84"/>
  <c r="G81"/>
  <c r="G72"/>
  <c r="E46"/>
  <c r="D84"/>
  <c r="L89"/>
  <c r="K46"/>
  <c r="J48"/>
  <c r="J73"/>
  <c r="H84"/>
  <c r="G87"/>
  <c r="E81"/>
  <c r="E72"/>
  <c r="M23"/>
  <c r="E23"/>
  <c r="I40"/>
  <c r="Y38"/>
  <c r="Y40"/>
  <c r="P40"/>
  <c r="AE39"/>
  <c r="AG41"/>
  <c r="R38"/>
  <c r="V39"/>
  <c r="V40"/>
  <c r="Z41"/>
  <c r="Z38"/>
  <c r="Z40"/>
  <c r="Z39"/>
  <c r="O39"/>
  <c r="O38"/>
  <c r="O40"/>
  <c r="O41"/>
  <c r="U40"/>
  <c r="U41"/>
  <c r="U38"/>
  <c r="U39"/>
  <c r="AC38"/>
  <c r="AC40"/>
  <c r="AC39"/>
  <c r="AC41"/>
  <c r="AK38"/>
  <c r="AK39"/>
  <c r="AK40"/>
  <c r="AK41"/>
  <c r="F39"/>
  <c r="F40"/>
  <c r="F38"/>
  <c r="N38"/>
  <c r="N39"/>
  <c r="N40"/>
  <c r="N41"/>
  <c r="X40"/>
  <c r="X39"/>
  <c r="X41"/>
  <c r="X38"/>
  <c r="AF39"/>
  <c r="AF41"/>
  <c r="AF38"/>
  <c r="AF40"/>
  <c r="P23"/>
  <c r="F23"/>
  <c r="J23"/>
  <c r="N23"/>
  <c r="AO23"/>
  <c r="X23"/>
  <c r="AF23"/>
  <c r="K40"/>
  <c r="Q41"/>
  <c r="Q39"/>
  <c r="T12"/>
  <c r="T22" s="1"/>
  <c r="T68" s="1"/>
  <c r="H38"/>
  <c r="L38"/>
  <c r="W38"/>
  <c r="AD40"/>
  <c r="AD41"/>
  <c r="AD39"/>
  <c r="AD38"/>
  <c r="AM38"/>
  <c r="AM40"/>
  <c r="AH39"/>
  <c r="AH40"/>
  <c r="AL38"/>
  <c r="AL41"/>
  <c r="AL39"/>
  <c r="AL40"/>
  <c r="E39"/>
  <c r="E41"/>
  <c r="E38"/>
  <c r="E40"/>
  <c r="M41"/>
  <c r="M38"/>
  <c r="M39"/>
  <c r="M40"/>
  <c r="J39"/>
  <c r="J41"/>
  <c r="J40"/>
  <c r="J38"/>
  <c r="S40"/>
  <c r="S22"/>
  <c r="S69" s="1"/>
  <c r="S41"/>
  <c r="AA40"/>
  <c r="AA39"/>
  <c r="AA38"/>
  <c r="AA41"/>
  <c r="AD12"/>
  <c r="AD22" s="1"/>
  <c r="AD23"/>
  <c r="AO41"/>
  <c r="AO38"/>
  <c r="T38"/>
  <c r="T39"/>
  <c r="T40"/>
  <c r="T41"/>
  <c r="AI40"/>
  <c r="AI38"/>
  <c r="AI39"/>
  <c r="AI41"/>
  <c r="R23"/>
  <c r="Z23"/>
  <c r="AH23"/>
  <c r="AC23"/>
  <c r="AK23"/>
  <c r="AN23"/>
  <c r="O23" l="1"/>
  <c r="W40"/>
  <c r="K38"/>
  <c r="G23"/>
  <c r="L23"/>
  <c r="Y12"/>
  <c r="Y66" s="1"/>
  <c r="R40"/>
  <c r="AG39"/>
  <c r="P39"/>
  <c r="C23"/>
  <c r="H23"/>
  <c r="AO22"/>
  <c r="AF75"/>
  <c r="AK75"/>
  <c r="AN31"/>
  <c r="AJ75"/>
  <c r="AE76"/>
  <c r="AN6"/>
  <c r="AM76"/>
  <c r="AM88"/>
  <c r="AK48"/>
  <c r="AK76"/>
  <c r="AI76"/>
  <c r="AI77"/>
  <c r="AI24"/>
  <c r="AI13"/>
  <c r="AH78"/>
  <c r="AG48"/>
  <c r="AG76"/>
  <c r="AN24"/>
  <c r="AK84"/>
  <c r="AF31"/>
  <c r="AE73"/>
  <c r="AD78"/>
  <c r="AC48"/>
  <c r="AC76"/>
  <c r="AB6"/>
  <c r="AA73"/>
  <c r="AA88"/>
  <c r="Z46"/>
  <c r="G73"/>
  <c r="F46"/>
  <c r="H48"/>
  <c r="AF68"/>
  <c r="AF69"/>
  <c r="Y22"/>
  <c r="Y68" s="1"/>
  <c r="L22"/>
  <c r="L68" s="1"/>
  <c r="L39"/>
  <c r="Q40"/>
  <c r="V41"/>
  <c r="AE41"/>
  <c r="Y39"/>
  <c r="I41"/>
  <c r="T66"/>
  <c r="U22"/>
  <c r="AM24"/>
  <c r="AN75"/>
  <c r="AG79"/>
  <c r="AK79"/>
  <c r="AM79"/>
  <c r="AO48"/>
  <c r="AO76"/>
  <c r="AI73"/>
  <c r="AL71"/>
  <c r="AL83"/>
  <c r="AJ76"/>
  <c r="AI79"/>
  <c r="AI78"/>
  <c r="AC84"/>
  <c r="Z87"/>
  <c r="Y89"/>
  <c r="W76"/>
  <c r="U84"/>
  <c r="F78"/>
  <c r="F89"/>
  <c r="D48"/>
  <c r="C66"/>
  <c r="AN79"/>
  <c r="AM78"/>
  <c r="AF66"/>
  <c r="AE83"/>
  <c r="AK87"/>
  <c r="AG78"/>
  <c r="K69"/>
  <c r="K68"/>
  <c r="N66"/>
  <c r="N22"/>
  <c r="J22"/>
  <c r="J66"/>
  <c r="X66"/>
  <c r="X22"/>
  <c r="AL22"/>
  <c r="AL66"/>
  <c r="AN41"/>
  <c r="AN39"/>
  <c r="AN38"/>
  <c r="AN40"/>
  <c r="AI12"/>
  <c r="AI22" s="1"/>
  <c r="AI68" s="1"/>
  <c r="AI23"/>
  <c r="AB40"/>
  <c r="AB39"/>
  <c r="AB38"/>
  <c r="AB41"/>
  <c r="L69"/>
  <c r="U23"/>
  <c r="AH41"/>
  <c r="AM39"/>
  <c r="W22"/>
  <c r="W39"/>
  <c r="W41"/>
  <c r="L66"/>
  <c r="L40"/>
  <c r="AB23"/>
  <c r="R41"/>
  <c r="AG38"/>
  <c r="AE40"/>
  <c r="I38"/>
  <c r="W23"/>
  <c r="AE23"/>
  <c r="AG23"/>
  <c r="AH22"/>
  <c r="AL23"/>
  <c r="S66"/>
  <c r="AD83"/>
  <c r="X75"/>
  <c r="AA13"/>
  <c r="AB75"/>
  <c r="AE88"/>
  <c r="AE80"/>
  <c r="AJ80"/>
  <c r="AI83"/>
  <c r="AM83"/>
  <c r="AM80"/>
  <c r="AO89"/>
  <c r="AO84"/>
  <c r="AN72"/>
  <c r="AL81"/>
  <c r="AH46"/>
  <c r="AC83"/>
  <c r="W84"/>
  <c r="W73"/>
  <c r="V46"/>
  <c r="U73"/>
  <c r="T46"/>
  <c r="S73"/>
  <c r="R46"/>
  <c r="AI71"/>
  <c r="AE77"/>
  <c r="T48"/>
  <c r="Q77"/>
  <c r="O84"/>
  <c r="N81"/>
  <c r="M77"/>
  <c r="L72"/>
  <c r="K77"/>
  <c r="J72"/>
  <c r="I77"/>
  <c r="H78"/>
  <c r="D72"/>
  <c r="C73"/>
  <c r="P72"/>
  <c r="J89"/>
  <c r="G6"/>
  <c r="E87"/>
  <c r="D22"/>
  <c r="D68" s="1"/>
  <c r="H40"/>
  <c r="AN76"/>
  <c r="AE84"/>
  <c r="I79"/>
  <c r="AO69"/>
  <c r="AO68"/>
  <c r="AO87"/>
  <c r="AO66"/>
  <c r="AO40"/>
  <c r="AN22"/>
  <c r="AN66"/>
  <c r="AM66"/>
  <c r="AM22"/>
  <c r="AL76"/>
  <c r="AM75"/>
  <c r="AK22"/>
  <c r="AK66"/>
  <c r="AJ6"/>
  <c r="AJ86"/>
  <c r="AJ23"/>
  <c r="AI66"/>
  <c r="AI69"/>
  <c r="AH72"/>
  <c r="AH24"/>
  <c r="AH68"/>
  <c r="AH69"/>
  <c r="AH83"/>
  <c r="AH66"/>
  <c r="AG66"/>
  <c r="AG22"/>
  <c r="AE89"/>
  <c r="AE22"/>
  <c r="AE66"/>
  <c r="AD68"/>
  <c r="AD69"/>
  <c r="AD66"/>
  <c r="AC66"/>
  <c r="AC22"/>
  <c r="AB22"/>
  <c r="AB68" s="1"/>
  <c r="AB66"/>
  <c r="AB69"/>
  <c r="Z66"/>
  <c r="Z22"/>
  <c r="Y69"/>
  <c r="V13"/>
  <c r="V83"/>
  <c r="V84"/>
  <c r="U68"/>
  <c r="U69"/>
  <c r="U66"/>
  <c r="T69"/>
  <c r="S68"/>
  <c r="S38"/>
  <c r="S39"/>
  <c r="R83"/>
  <c r="R66"/>
  <c r="R22"/>
  <c r="Q12"/>
  <c r="Q22"/>
  <c r="Q66"/>
  <c r="P69"/>
  <c r="P68"/>
  <c r="P66"/>
  <c r="P41"/>
  <c r="O22"/>
  <c r="O66"/>
  <c r="M66"/>
  <c r="M22"/>
  <c r="K39"/>
  <c r="K66"/>
  <c r="I22"/>
  <c r="I66"/>
  <c r="H41"/>
  <c r="H22"/>
  <c r="H66"/>
  <c r="G41"/>
  <c r="G22"/>
  <c r="G39"/>
  <c r="G38"/>
  <c r="G66"/>
  <c r="G40"/>
  <c r="F41"/>
  <c r="F22"/>
  <c r="F66"/>
  <c r="E66"/>
  <c r="E22"/>
  <c r="D66"/>
  <c r="D69"/>
  <c r="C69"/>
  <c r="AA12" l="1"/>
  <c r="AA23"/>
  <c r="W68"/>
  <c r="W69"/>
  <c r="AL69"/>
  <c r="AL68"/>
  <c r="J68"/>
  <c r="J69"/>
  <c r="X69"/>
  <c r="X68"/>
  <c r="N68"/>
  <c r="N69"/>
  <c r="AN68"/>
  <c r="AN69"/>
  <c r="AM68"/>
  <c r="AM69"/>
  <c r="AK68"/>
  <c r="AK69"/>
  <c r="AJ39"/>
  <c r="AJ40"/>
  <c r="AJ22"/>
  <c r="AJ38"/>
  <c r="AJ41"/>
  <c r="AJ66"/>
  <c r="AG68"/>
  <c r="AG69"/>
  <c r="AE69"/>
  <c r="AE68"/>
  <c r="AC69"/>
  <c r="AC68"/>
  <c r="Z68"/>
  <c r="Z69"/>
  <c r="V12"/>
  <c r="V23"/>
  <c r="R68"/>
  <c r="R69"/>
  <c r="Q68"/>
  <c r="Q69"/>
  <c r="O68"/>
  <c r="O69"/>
  <c r="M68"/>
  <c r="M69"/>
  <c r="I69"/>
  <c r="I68"/>
  <c r="H68"/>
  <c r="H69"/>
  <c r="G68"/>
  <c r="G69"/>
  <c r="F69"/>
  <c r="F68"/>
  <c r="E69"/>
  <c r="E68"/>
  <c r="AA66" l="1"/>
  <c r="AA22"/>
  <c r="AJ68"/>
  <c r="AJ69"/>
  <c r="V22"/>
  <c r="V66"/>
  <c r="AA69" l="1"/>
  <c r="AA68"/>
  <c r="V68"/>
  <c r="V69"/>
</calcChain>
</file>

<file path=xl/sharedStrings.xml><?xml version="1.0" encoding="utf-8"?>
<sst xmlns="http://schemas.openxmlformats.org/spreadsheetml/2006/main" count="3032" uniqueCount="223">
  <si>
    <t>Lp.</t>
  </si>
  <si>
    <t>Wyszczególnienie</t>
  </si>
  <si>
    <t>2.</t>
  </si>
  <si>
    <t>Wydatki bieżące (bez odsetek i prowizji od: kredytów i pożyczek oraz wyemitowanych papierów wartościowych), w tym:</t>
  </si>
  <si>
    <t>na wynagrodzenia i składki od nich naliczane</t>
  </si>
  <si>
    <t>związane z funkcjonowaniem organów JST</t>
  </si>
  <si>
    <t>wydatki bieżące objęte limitem art. 226 ust. 4 ufp</t>
  </si>
  <si>
    <t>3.</t>
  </si>
  <si>
    <t>4.</t>
  </si>
  <si>
    <t>5.</t>
  </si>
  <si>
    <t>6.</t>
  </si>
  <si>
    <t>7.</t>
  </si>
  <si>
    <t>Spłata i obsługa długu, z tego:</t>
  </si>
  <si>
    <t>wydatki bieżące na obsługę długu</t>
  </si>
  <si>
    <t>8.</t>
  </si>
  <si>
    <t>Inne rozchody (bez spłaty długu, np. udzielane pożyczki)</t>
  </si>
  <si>
    <t>9.</t>
  </si>
  <si>
    <t>10.</t>
  </si>
  <si>
    <t>Wydatki majątkowe, w tym:</t>
  </si>
  <si>
    <t>11.</t>
  </si>
  <si>
    <t>12.</t>
  </si>
  <si>
    <t>13.</t>
  </si>
  <si>
    <t>14.</t>
  </si>
  <si>
    <t>15.</t>
  </si>
  <si>
    <t>16.</t>
  </si>
  <si>
    <t>17.</t>
  </si>
  <si>
    <t>2040</t>
  </si>
  <si>
    <t>budzet</t>
  </si>
  <si>
    <t>numer</t>
  </si>
  <si>
    <t>nazwajst</t>
  </si>
  <si>
    <t>kodgus</t>
  </si>
  <si>
    <t>gt</t>
  </si>
  <si>
    <t>mswia</t>
  </si>
  <si>
    <t>lp</t>
  </si>
  <si>
    <t>symbol</t>
  </si>
  <si>
    <t>formula</t>
  </si>
  <si>
    <t>wyszczegolnienie</t>
  </si>
  <si>
    <t>wsk243</t>
  </si>
  <si>
    <t>rokprognozy</t>
  </si>
  <si>
    <t>prognoza</t>
  </si>
  <si>
    <t>Nazwa JST:</t>
  </si>
  <si>
    <t>WPF za lata:</t>
  </si>
  <si>
    <t>Numer Uchwały:</t>
  </si>
  <si>
    <t>DataPodjecia</t>
  </si>
  <si>
    <t>DataWejscia</t>
  </si>
  <si>
    <t>1.</t>
  </si>
  <si>
    <t>Wydatki ogółem</t>
  </si>
  <si>
    <t>Wydatki majątkowe</t>
  </si>
  <si>
    <t>Wynik budżetu</t>
  </si>
  <si>
    <t>Dochody bieżące - wydatki bieżące</t>
  </si>
  <si>
    <t>Przychody budżetu</t>
  </si>
  <si>
    <t>Inne przychody niezwiązane z zaciągnięciem długu</t>
  </si>
  <si>
    <t xml:space="preserve">Rozchody budżetu </t>
  </si>
  <si>
    <t>Maksymalny dopuszczalny wskaźnik spłaty z art. 243 ufp</t>
  </si>
  <si>
    <t>Relacja planowanej łącznej kwoty spłaty zobowiązań do dochodów  (bez wyłączeń)</t>
  </si>
  <si>
    <t>Art. 243 ustawy z dnia 27 sierpnia 2009 r. - w ujęciu rocznym</t>
  </si>
  <si>
    <t xml:space="preserve">Wyciąg danych z tabeli "Wieloletnia prognoza finansowa" wprowadzonych do systemu BESTI@ z wybranej uchwały </t>
  </si>
  <si>
    <t>Dochody ogółem</t>
  </si>
  <si>
    <t>Dochody bieżące</t>
  </si>
  <si>
    <t>Wydatki bieżące</t>
  </si>
  <si>
    <t>Nadwyżka budżetowa z lat ubiegłych plus wolne środki, o których mowa w art. 217 ust.1 pkt 6 ufp, angażowane w budżecie roku bieżącego</t>
  </si>
  <si>
    <t>w tym: na pokrycie deficytu budżetu</t>
  </si>
  <si>
    <t>Kredyty, pożyczki, sprzedaż papierów wartościowych</t>
  </si>
  <si>
    <t xml:space="preserve">w tym: na pokrycie deficytu budżetu </t>
  </si>
  <si>
    <t>Spłaty rat kapitałowych oraz wykup papierów wartościowych</t>
  </si>
  <si>
    <t>w tym: kwota wyłączeń z art. 243 ust. 3 pkt 1ufp oraz art. 169 ust. 3 sufp przypadająca na dany rok</t>
  </si>
  <si>
    <t>Kwota długu</t>
  </si>
  <si>
    <t>w tym: dług spłacany wydatkami (zobowiązania wymagalne, umowy zaliczane do kategorii kredytów i pożyczek, itp.)</t>
  </si>
  <si>
    <t>Łączna kwota wyłączeń z art. 170 ust. 3 sufp</t>
  </si>
  <si>
    <t>Zadłużenie/dochody ogółem - max 60% z art. 170 sufp (bez wyłączeń)</t>
  </si>
  <si>
    <t>9a.</t>
  </si>
  <si>
    <t>Zadłużenie/dochody ogółem - max 60% z art. 170 sufp (po uwzględnieniu wyłączeń)</t>
  </si>
  <si>
    <t>Planowana łączna kwota spłaty zobowiązań/dochody ogółem - max 15% z art. 169 sufp (bez wyłączeń)</t>
  </si>
  <si>
    <t>10a.</t>
  </si>
  <si>
    <t>Planowana łączna kwota spłaty zobowiązań/dochody ogółem - max 15% z art. 169 sufp (po uwzględnieniu wyłączeń)</t>
  </si>
  <si>
    <t>13a.</t>
  </si>
  <si>
    <t>Spełnienie wskaźnika spłaty z art. 243 ufp po uwzględnieniu art. 244 ufp (bez wyłączeń)</t>
  </si>
  <si>
    <t>Relacja planowanej łącznej kwoty spłaty zobowiązań do dochodów (po uwzględnieniu wyłączeń)</t>
  </si>
  <si>
    <t>14a.</t>
  </si>
  <si>
    <t>Spełnienie wskaźnika spłaty z art. 243 ufp po uwzględnieniu art. 244 ufp (po uwzględnieniu wyłączeń)</t>
  </si>
  <si>
    <t>Informacja z art. 226 ust. 2, tj. wydatki:</t>
  </si>
  <si>
    <t>bieżące objęte limitem art. 226 ust. 4 ufp</t>
  </si>
  <si>
    <t>majątkowe objęte limitem art. 226 ust. 4 ufp</t>
  </si>
  <si>
    <t>Rok bazowy:</t>
  </si>
  <si>
    <t>w tym: środki z UE*</t>
  </si>
  <si>
    <t>Dochody majątkowe, w tym:</t>
  </si>
  <si>
    <t>ze sprzedaży majątku</t>
  </si>
  <si>
    <t>środki z UE*</t>
  </si>
  <si>
    <t>* środki, o których mowa w art. 5 ust. 1 pkt 2 ustawy o finansach publicznych z 2009 r.</t>
  </si>
  <si>
    <t>w tym: na projekty realizowane przy udziale środków, o których mowa w art. 5 ust. 1 pkt 2</t>
  </si>
  <si>
    <t xml:space="preserve">wydatki bieżące bez wydatków na obsługę długu, w tym: </t>
  </si>
  <si>
    <t>Wartość przejętych zobowiązań</t>
  </si>
  <si>
    <t xml:space="preserve">w tym: od samorządowych samodzielnych publicznych zakładów opieki zdrowotnej </t>
  </si>
  <si>
    <t>Dochody ogółem, z tego:</t>
  </si>
  <si>
    <t>1a</t>
  </si>
  <si>
    <t xml:space="preserve"> dochody bieżące</t>
  </si>
  <si>
    <t>1a1</t>
  </si>
  <si>
    <t xml:space="preserve">  w tym: środki z UE*</t>
  </si>
  <si>
    <t>1b</t>
  </si>
  <si>
    <t xml:space="preserve"> dochody majątkowe, w tym</t>
  </si>
  <si>
    <t>1c</t>
  </si>
  <si>
    <t xml:space="preserve"> ze sprzedaży majątku</t>
  </si>
  <si>
    <t>1d</t>
  </si>
  <si>
    <t xml:space="preserve"> środki z UE*</t>
  </si>
  <si>
    <t>2a</t>
  </si>
  <si>
    <t xml:space="preserve"> na wynagrodzenia i składki od nich naliczane</t>
  </si>
  <si>
    <t>2b</t>
  </si>
  <si>
    <t xml:space="preserve"> związane z funkcjonowaniem organów JST</t>
  </si>
  <si>
    <t>2c</t>
  </si>
  <si>
    <t xml:space="preserve"> z tytułu gwarancji i poręczeń, w tym:</t>
  </si>
  <si>
    <t>2d</t>
  </si>
  <si>
    <t xml:space="preserve"> gwarancje i poręczenia podlegające wyłączeniu z limitów spłaty zobowiązań z art. 243 ufp/169sufp</t>
  </si>
  <si>
    <t>2e</t>
  </si>
  <si>
    <t xml:space="preserve"> wydatki bieżące objęte limitem art. 226 ust. 4 ufp</t>
  </si>
  <si>
    <t>2f</t>
  </si>
  <si>
    <t xml:space="preserve"> na projekty realizowane przy udziale środków, o których mowa w art. 5 ust. 1 pkt 2</t>
  </si>
  <si>
    <t>Różnica (1-2)</t>
  </si>
  <si>
    <t>4a</t>
  </si>
  <si>
    <t xml:space="preserve"> w tym: na pokrycie deficytu budżetu</t>
  </si>
  <si>
    <t>Inne przychody nie związane z zaciągnięciem długu</t>
  </si>
  <si>
    <t>5a</t>
  </si>
  <si>
    <t>Środki do dyspozycji (3+4+5)</t>
  </si>
  <si>
    <t>7a</t>
  </si>
  <si>
    <t xml:space="preserve"> rozchody z tytułu spłaty rat kapitałowych oraz wykupu papierów wartościowych</t>
  </si>
  <si>
    <t>7a1</t>
  </si>
  <si>
    <t xml:space="preserve">  kwota wyłączeń z art. 243 ust. 3 pkt 1 ufp oraz art. 169 ust. 3 sufp przypadająca na dany rok budżetowy</t>
  </si>
  <si>
    <t>7b</t>
  </si>
  <si>
    <t xml:space="preserve"> wydatki bieżące na obsługę długu</t>
  </si>
  <si>
    <t>7b1</t>
  </si>
  <si>
    <t xml:space="preserve">  w tym: odsetki i dyskonto</t>
  </si>
  <si>
    <t>Inne rozchody (bez spłaty długu np. udzielane pożyczki)</t>
  </si>
  <si>
    <t>Środki do dyspozycji (6-7-8)</t>
  </si>
  <si>
    <t>10a</t>
  </si>
  <si>
    <t xml:space="preserve"> wydatki majątkowe objęte limitem art. 226 ust. 4 ufp</t>
  </si>
  <si>
    <t>10b</t>
  </si>
  <si>
    <t>11a</t>
  </si>
  <si>
    <t>Rozliczenie budżetu (9-10+11)</t>
  </si>
  <si>
    <t>13a</t>
  </si>
  <si>
    <t xml:space="preserve"> w tym: dług spłacany wydatkami (zobowiązania wymagalne, umowy zaliczane do kategorii kredytów i pożyczek, itp.)</t>
  </si>
  <si>
    <t>Kwota zobowiązań związku współtworzonego przez jst przypadających do spłaty w danym roku budżetowym podlegająca doliczeniu zgodnie z art. 244 ufp</t>
  </si>
  <si>
    <t>Kwoty nadwyżki budżetowej planowanej w poszczególnych latach objętych prognozą **</t>
  </si>
  <si>
    <t>17a</t>
  </si>
  <si>
    <t xml:space="preserve"> w tym od spzoz</t>
  </si>
  <si>
    <t>18a</t>
  </si>
  <si>
    <t>19a</t>
  </si>
  <si>
    <t>Relacja (Db-Wb+Dsm)/Do, o której mowa w art. 243 w danym roku</t>
  </si>
  <si>
    <t>20a</t>
  </si>
  <si>
    <t>21a</t>
  </si>
  <si>
    <t>22a</t>
  </si>
  <si>
    <t>Dochody bieżące (1a)</t>
  </si>
  <si>
    <t>Wydatki bieżące razem (2 + 7b)</t>
  </si>
  <si>
    <t>Dochody ogółem (1)</t>
  </si>
  <si>
    <t>Przychody budżetu (4+5+11)</t>
  </si>
  <si>
    <t>Rozchody budżetu (7a + 8)</t>
  </si>
  <si>
    <t>na projekty realizowane przy udziale środków, o których mowa w art. 5 ust. 1 pkt 2</t>
  </si>
  <si>
    <t>gwarancje i poręczenia podlegające wyłączeniu z limitów spłaty zobowiązań z art. 243 ufp/169sufp</t>
  </si>
  <si>
    <t>z tytułu gwarancji i poręczeń, w tym:</t>
  </si>
  <si>
    <t>w tym: kwota wyłączeń z art. 243 ust. 3 pkt 1 ufp oraz art. 169 ust. 3 sufp przypadająca na dany rok budżetowy</t>
  </si>
  <si>
    <t>w tym: odsetki i dyskonto</t>
  </si>
  <si>
    <t>Rozchody z tytułu spłaty rat kapitałowych oraz wykupu papierów wartościowych</t>
  </si>
  <si>
    <t>Wydatki bieżące na obsługę długu</t>
  </si>
  <si>
    <t>wydatki majątkowe objęte limitem art. 226 ust. 4 ufp</t>
  </si>
  <si>
    <t>Przeznaczenie nadwyżki wykonanej w poszczególnych latach objętych prognozą: **</t>
  </si>
  <si>
    <t>** Przeznaczenie planowanej nadwyżki budżetowej jest szczegółowo opisane w objaśnieniach.</t>
  </si>
  <si>
    <t xml:space="preserve">z tytułu poręczeń i gwarancji </t>
  </si>
  <si>
    <t>w tym: gwarancje i poręczenia podlegające wyłączeniu z limitów spłaty zobowiązań z art. 243 ufp/169 sufp</t>
  </si>
  <si>
    <t xml:space="preserve">w tym: odsetki i dyskonto </t>
  </si>
  <si>
    <t xml:space="preserve">Kwota zobowiązań przypadających do spłaty w danym roku budżetowym, podlegająca doliczeniu zgodnie z art. 244 ufp (zobowiązania związku współtworzonego przez JST) </t>
  </si>
  <si>
    <t>X</t>
  </si>
  <si>
    <t xml:space="preserve">Kontrola poprawności bilansowania budżetu (D+P)-(W+R)=0:  </t>
  </si>
  <si>
    <t>Czy kwota angażowanych środków w przychodach jest wyższa od tej na finansowanie deficytu:</t>
  </si>
  <si>
    <t>dla INNYCH PRZYCHODÓW:</t>
  </si>
  <si>
    <t>dla KREDYTÓW,POŻYCZEK:</t>
  </si>
  <si>
    <t>Czy WYSOKOŚĆ DEFICYTU jest w pełni pokryta źródłami finansowania deficytu?</t>
  </si>
  <si>
    <t>Kontrola poprawności zmiany kwoty długu: 
(kwota różna od zera powinna być opisana w objaśnieniach)</t>
  </si>
  <si>
    <t xml:space="preserve">Czy kwota WYŁĄCZEŃ przypadających w roku 
jest mniejsza od PORĘCZEŃ: </t>
  </si>
  <si>
    <t xml:space="preserve">Czy kwota WYŁĄCZEŃ przypadających w roku 
jest mniejsza od SPŁAT: </t>
  </si>
  <si>
    <t>Czy poprawnie podano pozycje wchodzące w skład "wydatków bieżących bez wydatków na obsługę długu"?</t>
  </si>
  <si>
    <t>Czy wydatki na odsetki i dyskonto mieszczą się w wydatkach na obsługę długu?</t>
  </si>
  <si>
    <t>Czy wydatki majątkowe na projekty realizowane przy udziale środków, o których mowa w art. 5 ust. 1 pkt 2 mieszczą się w wydatkach majątkowych ogółem?</t>
  </si>
  <si>
    <t>Czy kwota długu spłacanego wydatkami mieści się w kwocie długu ogółem?</t>
  </si>
  <si>
    <t>Czy łączna kwota wyłączeń z art. 170 ust. 3 sufp mieści się w kwocie długu ogółem?</t>
  </si>
  <si>
    <t>Dodatkowa weryfikacja danych w tabeli WPF w oparciu o reguły jeszcze nie zaimplementowane w systemie:</t>
  </si>
  <si>
    <t>Czy wydatki bieżące na projekty realizowane przy udziale środków, o których mowa w art. 5 ust. 1 pkt 2 mieszczą się w wydatkach bieżących bez wydatków na obsługę długu?</t>
  </si>
  <si>
    <t>Czy wysokość środków UE mieści się 
w dochodach majątkowych:</t>
  </si>
  <si>
    <t>Czy wysokość środków UE mieści się 
w dochodach bieżących:</t>
  </si>
  <si>
    <t>Czy kwota przejętych zobowiązań [17] jest mniejsza od kwoty długu [7]?</t>
  </si>
  <si>
    <t>Czy kwota zobowiązań przejętych zobowiązań od SP ZOZ mieści  się w kwocie przejętych zobowiązań ogółem?</t>
  </si>
  <si>
    <t>reguła rachunkowa</t>
  </si>
  <si>
    <t xml:space="preserve">reguła badająca zależność logiczną </t>
  </si>
  <si>
    <t>Gdy wynik budżetu jest nadwyżką to czy suma kwot na finansowanie deficytu jest równa ZERO:</t>
  </si>
  <si>
    <t>dla NADWYŻKI I WOLNYCH ŚRODKÓW:</t>
  </si>
  <si>
    <t>Projekt</t>
  </si>
  <si>
    <t>Piotrków Trybunalski</t>
  </si>
  <si>
    <t>([13])/[1]</t>
  </si>
  <si>
    <t>[1]-[2]</t>
  </si>
  <si>
    <t>([7a]+[7b1]+[2c]+[15]-[2d]-[7a1])/[1]</t>
  </si>
  <si>
    <t>[1a]</t>
  </si>
  <si>
    <t>[3]+[4]+[5]</t>
  </si>
  <si>
    <t>[20a]-[22]</t>
  </si>
  <si>
    <t>([7a]+[7b1]+[2c])/[1]</t>
  </si>
  <si>
    <t>([7a]+[7b1]+[2c]-[2d]-[7a1])/[1]</t>
  </si>
  <si>
    <t>[2]+[7b]</t>
  </si>
  <si>
    <t>[20]</t>
  </si>
  <si>
    <t>[6]-[7]-[8]</t>
  </si>
  <si>
    <t>[26]-[27]</t>
  </si>
  <si>
    <t>[20a]-[21]</t>
  </si>
  <si>
    <t xml:space="preserve"> ([1a]-[24]+[1c])/[1]</t>
  </si>
  <si>
    <t>([7a]+[7b1]+[2c]+[15])/[1]</t>
  </si>
  <si>
    <t>[7a]+[8]</t>
  </si>
  <si>
    <t>[1]</t>
  </si>
  <si>
    <t>([13]-[14])/[1]</t>
  </si>
  <si>
    <t>[1a]+[1b]</t>
  </si>
  <si>
    <t>[10]+[24]</t>
  </si>
  <si>
    <t>[23]-[24]</t>
  </si>
  <si>
    <t>[7a]+[7b]</t>
  </si>
  <si>
    <t>[4]+[5]+[11]</t>
  </si>
  <si>
    <t>Nadwyżka budżetowa z lat ubiegłych plus wolne środki, o których mowa w art. 217 ust. 2 pkt 6 ufp, angażowane w budżecie roku bieżącego</t>
  </si>
  <si>
    <t>Załącznik Nr 1</t>
  </si>
  <si>
    <t>do Uchwały Nr</t>
  </si>
  <si>
    <t>Rady Miasta Piotrkowa Trybunalskiego</t>
  </si>
  <si>
    <t xml:space="preserve">z dnia </t>
  </si>
  <si>
    <t>Prognoza kwoty długu i spłat zobowiązań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</si>
</sst>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25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b/>
      <i/>
      <sz val="9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rgb="FFFF0000"/>
      <name val="Czcionka tekstu podstawowego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11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6" fillId="0" borderId="0"/>
    <xf numFmtId="0" fontId="5" fillId="0" borderId="0" applyProtection="0"/>
    <xf numFmtId="0" fontId="2" fillId="0" borderId="0"/>
    <xf numFmtId="0" fontId="1" fillId="0" borderId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2">
    <xf numFmtId="0" fontId="0" fillId="0" borderId="0" xfId="0"/>
    <xf numFmtId="0" fontId="8" fillId="0" borderId="0" xfId="0" applyFont="1"/>
    <xf numFmtId="0" fontId="3" fillId="0" borderId="1" xfId="5" applyFont="1" applyBorder="1" applyAlignment="1">
      <alignment vertical="center" wrapText="1"/>
    </xf>
    <xf numFmtId="0" fontId="3" fillId="0" borderId="1" xfId="5" quotePrefix="1" applyFont="1" applyBorder="1" applyAlignment="1">
      <alignment vertical="center" wrapText="1"/>
    </xf>
    <xf numFmtId="0" fontId="8" fillId="0" borderId="0" xfId="0" applyFont="1" applyBorder="1"/>
    <xf numFmtId="0" fontId="8" fillId="2" borderId="0" xfId="0" applyFont="1" applyFill="1" applyBorder="1" applyAlignment="1">
      <alignment horizontal="center"/>
    </xf>
    <xf numFmtId="49" fontId="4" fillId="2" borderId="2" xfId="5" applyNumberFormat="1" applyFont="1" applyFill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3" borderId="3" xfId="5" applyFont="1" applyFill="1" applyBorder="1" applyAlignment="1">
      <alignment horizontal="center" vertical="center"/>
    </xf>
    <xf numFmtId="0" fontId="4" fillId="3" borderId="4" xfId="5" applyFont="1" applyFill="1" applyBorder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49" fontId="4" fillId="2" borderId="7" xfId="5" applyNumberFormat="1" applyFont="1" applyFill="1" applyBorder="1" applyAlignment="1">
      <alignment horizontal="center"/>
    </xf>
    <xf numFmtId="49" fontId="4" fillId="2" borderId="8" xfId="5" applyNumberFormat="1" applyFont="1" applyFill="1" applyBorder="1" applyAlignment="1">
      <alignment horizontal="center"/>
    </xf>
    <xf numFmtId="0" fontId="3" fillId="4" borderId="1" xfId="5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5" borderId="0" xfId="0" applyFont="1" applyFill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14" fillId="0" borderId="0" xfId="0" applyFont="1"/>
    <xf numFmtId="0" fontId="14" fillId="0" borderId="0" xfId="0" applyFont="1" applyAlignment="1">
      <alignment vertical="center"/>
    </xf>
    <xf numFmtId="49" fontId="4" fillId="2" borderId="9" xfId="5" applyNumberFormat="1" applyFont="1" applyFill="1" applyBorder="1" applyAlignment="1">
      <alignment horizontal="center"/>
    </xf>
    <xf numFmtId="164" fontId="3" fillId="5" borderId="3" xfId="5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19" fillId="0" borderId="0" xfId="0" applyFont="1"/>
    <xf numFmtId="0" fontId="8" fillId="2" borderId="0" xfId="0" applyFont="1" applyFill="1" applyAlignment="1">
      <alignment horizontal="center"/>
    </xf>
    <xf numFmtId="0" fontId="8" fillId="0" borderId="10" xfId="0" applyFont="1" applyBorder="1"/>
    <xf numFmtId="0" fontId="3" fillId="0" borderId="0" xfId="6" quotePrefix="1" applyFont="1" applyBorder="1" applyAlignment="1">
      <alignment horizontal="right" vertical="center"/>
    </xf>
    <xf numFmtId="0" fontId="3" fillId="0" borderId="0" xfId="6" applyFont="1" applyBorder="1" applyAlignment="1">
      <alignment vertical="center" wrapText="1"/>
    </xf>
    <xf numFmtId="164" fontId="3" fillId="0" borderId="0" xfId="6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Fill="1" applyBorder="1"/>
    <xf numFmtId="164" fontId="3" fillId="5" borderId="11" xfId="5" applyNumberFormat="1" applyFont="1" applyFill="1" applyBorder="1" applyAlignment="1" applyProtection="1">
      <alignment vertical="center"/>
      <protection locked="0"/>
    </xf>
    <xf numFmtId="0" fontId="20" fillId="0" borderId="0" xfId="0" applyFont="1"/>
    <xf numFmtId="0" fontId="21" fillId="0" borderId="0" xfId="0" applyFont="1"/>
    <xf numFmtId="0" fontId="8" fillId="0" borderId="0" xfId="0" applyFont="1" applyFill="1" applyBorder="1" applyAlignment="1">
      <alignment horizontal="center"/>
    </xf>
    <xf numFmtId="165" fontId="4" fillId="0" borderId="12" xfId="5" applyNumberFormat="1" applyFont="1" applyFill="1" applyBorder="1" applyAlignment="1">
      <alignment vertical="center"/>
    </xf>
    <xf numFmtId="0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8" fillId="0" borderId="0" xfId="0" applyFont="1" applyFill="1"/>
    <xf numFmtId="0" fontId="23" fillId="0" borderId="0" xfId="0" applyFont="1" applyAlignment="1">
      <alignment horizontal="right"/>
    </xf>
    <xf numFmtId="0" fontId="3" fillId="0" borderId="0" xfId="6" applyFont="1" applyBorder="1" applyAlignment="1">
      <alignment vertical="center"/>
    </xf>
    <xf numFmtId="0" fontId="4" fillId="3" borderId="1" xfId="5" applyFont="1" applyFill="1" applyBorder="1" applyAlignment="1">
      <alignment vertical="center" wrapText="1"/>
    </xf>
    <xf numFmtId="0" fontId="4" fillId="0" borderId="1" xfId="5" applyFont="1" applyBorder="1" applyAlignment="1">
      <alignment vertical="center" wrapText="1"/>
    </xf>
    <xf numFmtId="0" fontId="4" fillId="4" borderId="1" xfId="5" applyFont="1" applyFill="1" applyBorder="1" applyAlignment="1">
      <alignment vertical="center" wrapText="1"/>
    </xf>
    <xf numFmtId="49" fontId="4" fillId="2" borderId="14" xfId="5" applyNumberFormat="1" applyFont="1" applyFill="1" applyBorder="1" applyAlignment="1">
      <alignment vertical="center" wrapText="1"/>
    </xf>
    <xf numFmtId="0" fontId="4" fillId="2" borderId="15" xfId="5" applyFont="1" applyFill="1" applyBorder="1" applyAlignment="1">
      <alignment vertical="center" wrapText="1"/>
    </xf>
    <xf numFmtId="0" fontId="10" fillId="3" borderId="1" xfId="5" applyFont="1" applyFill="1" applyBorder="1" applyAlignment="1">
      <alignment vertical="center" wrapText="1"/>
    </xf>
    <xf numFmtId="0" fontId="10" fillId="3" borderId="16" xfId="5" applyFont="1" applyFill="1" applyBorder="1" applyAlignment="1">
      <alignment vertical="center" wrapText="1"/>
    </xf>
    <xf numFmtId="0" fontId="4" fillId="4" borderId="15" xfId="5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4" fillId="0" borderId="12" xfId="5" applyFont="1" applyFill="1" applyBorder="1" applyAlignment="1">
      <alignment vertical="center" wrapText="1"/>
    </xf>
    <xf numFmtId="165" fontId="3" fillId="0" borderId="12" xfId="6" applyNumberFormat="1" applyFont="1" applyFill="1" applyBorder="1" applyAlignment="1">
      <alignment vertical="center"/>
    </xf>
    <xf numFmtId="165" fontId="4" fillId="0" borderId="12" xfId="6" applyNumberFormat="1" applyFont="1" applyFill="1" applyBorder="1" applyAlignment="1">
      <alignment vertical="center"/>
    </xf>
    <xf numFmtId="49" fontId="4" fillId="2" borderId="12" xfId="6" applyNumberFormat="1" applyFont="1" applyFill="1" applyBorder="1" applyAlignment="1">
      <alignment horizontal="center" vertical="center"/>
    </xf>
    <xf numFmtId="49" fontId="4" fillId="2" borderId="12" xfId="6" applyNumberFormat="1" applyFont="1" applyFill="1" applyBorder="1" applyAlignment="1">
      <alignment vertical="center"/>
    </xf>
    <xf numFmtId="1" fontId="4" fillId="2" borderId="12" xfId="6" applyNumberFormat="1" applyFont="1" applyFill="1" applyBorder="1" applyAlignment="1">
      <alignment horizontal="center" vertical="center"/>
    </xf>
    <xf numFmtId="0" fontId="4" fillId="0" borderId="12" xfId="6" applyFont="1" applyBorder="1" applyAlignment="1">
      <alignment horizontal="center" vertical="center"/>
    </xf>
    <xf numFmtId="0" fontId="4" fillId="0" borderId="12" xfId="6" applyFont="1" applyFill="1" applyBorder="1" applyAlignment="1">
      <alignment vertical="center" wrapText="1"/>
    </xf>
    <xf numFmtId="0" fontId="4" fillId="0" borderId="12" xfId="6" applyFont="1" applyFill="1" applyBorder="1" applyAlignment="1">
      <alignment horizontal="center" vertical="center"/>
    </xf>
    <xf numFmtId="0" fontId="10" fillId="0" borderId="12" xfId="6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top"/>
    </xf>
    <xf numFmtId="0" fontId="4" fillId="0" borderId="12" xfId="0" applyFont="1" applyFill="1" applyBorder="1" applyAlignment="1">
      <alignment vertical="top" wrapText="1"/>
    </xf>
    <xf numFmtId="0" fontId="4" fillId="0" borderId="17" xfId="6" applyFont="1" applyBorder="1" applyAlignment="1">
      <alignment horizontal="center" vertical="center"/>
    </xf>
    <xf numFmtId="0" fontId="4" fillId="0" borderId="17" xfId="6" applyFont="1" applyFill="1" applyBorder="1" applyAlignment="1">
      <alignment vertical="center" wrapText="1"/>
    </xf>
    <xf numFmtId="165" fontId="4" fillId="0" borderId="17" xfId="6" applyNumberFormat="1" applyFont="1" applyFill="1" applyBorder="1" applyAlignment="1">
      <alignment vertical="center"/>
    </xf>
    <xf numFmtId="0" fontId="3" fillId="0" borderId="18" xfId="6" applyFont="1" applyBorder="1" applyAlignment="1">
      <alignment horizontal="center" vertical="center"/>
    </xf>
    <xf numFmtId="0" fontId="3" fillId="0" borderId="18" xfId="6" applyFont="1" applyFill="1" applyBorder="1" applyAlignment="1">
      <alignment horizontal="left" vertical="center" wrapText="1" indent="1"/>
    </xf>
    <xf numFmtId="165" fontId="3" fillId="0" borderId="18" xfId="6" applyNumberFormat="1" applyFont="1" applyFill="1" applyBorder="1" applyAlignment="1">
      <alignment vertical="center"/>
    </xf>
    <xf numFmtId="0" fontId="3" fillId="0" borderId="18" xfId="6" applyFont="1" applyFill="1" applyBorder="1" applyAlignment="1">
      <alignment horizontal="left" vertical="center" wrapText="1" indent="2"/>
    </xf>
    <xf numFmtId="0" fontId="3" fillId="0" borderId="18" xfId="6" applyNumberFormat="1" applyFont="1" applyFill="1" applyBorder="1" applyAlignment="1">
      <alignment horizontal="left" vertical="center" wrapText="1" indent="2"/>
    </xf>
    <xf numFmtId="0" fontId="4" fillId="0" borderId="18" xfId="6" applyFont="1" applyBorder="1" applyAlignment="1">
      <alignment horizontal="center" vertical="center"/>
    </xf>
    <xf numFmtId="165" fontId="4" fillId="0" borderId="18" xfId="6" applyNumberFormat="1" applyFont="1" applyFill="1" applyBorder="1" applyAlignment="1">
      <alignment vertical="center"/>
    </xf>
    <xf numFmtId="0" fontId="3" fillId="0" borderId="18" xfId="6" applyFont="1" applyFill="1" applyBorder="1" applyAlignment="1">
      <alignment horizontal="left" vertical="center" wrapText="1" indent="3"/>
    </xf>
    <xf numFmtId="0" fontId="3" fillId="0" borderId="18" xfId="6" applyFont="1" applyFill="1" applyBorder="1" applyAlignment="1">
      <alignment horizontal="left" vertical="center" wrapText="1" indent="4"/>
    </xf>
    <xf numFmtId="0" fontId="3" fillId="0" borderId="18" xfId="6" quotePrefix="1" applyFont="1" applyFill="1" applyBorder="1" applyAlignment="1">
      <alignment horizontal="left" vertical="center" wrapText="1" indent="2"/>
    </xf>
    <xf numFmtId="0" fontId="3" fillId="0" borderId="18" xfId="6" applyFont="1" applyFill="1" applyBorder="1" applyAlignment="1">
      <alignment vertical="center" wrapText="1"/>
    </xf>
    <xf numFmtId="10" fontId="4" fillId="0" borderId="18" xfId="6" applyNumberFormat="1" applyFont="1" applyFill="1" applyBorder="1" applyAlignment="1">
      <alignment vertical="center"/>
    </xf>
    <xf numFmtId="0" fontId="4" fillId="0" borderId="18" xfId="5" applyFont="1" applyFill="1" applyBorder="1" applyAlignment="1">
      <alignment vertical="center" wrapText="1"/>
    </xf>
    <xf numFmtId="0" fontId="4" fillId="0" borderId="18" xfId="6" applyFont="1" applyFill="1" applyBorder="1" applyAlignment="1">
      <alignment horizontal="center" vertical="center" wrapText="1"/>
    </xf>
    <xf numFmtId="0" fontId="3" fillId="0" borderId="19" xfId="6" applyFont="1" applyBorder="1" applyAlignment="1">
      <alignment horizontal="center" vertical="center"/>
    </xf>
    <xf numFmtId="0" fontId="3" fillId="0" borderId="19" xfId="6" applyFont="1" applyFill="1" applyBorder="1" applyAlignment="1">
      <alignment horizontal="left" vertical="center" wrapText="1" indent="1"/>
    </xf>
    <xf numFmtId="165" fontId="3" fillId="0" borderId="19" xfId="6" applyNumberFormat="1" applyFont="1" applyFill="1" applyBorder="1" applyAlignment="1">
      <alignment vertical="center"/>
    </xf>
    <xf numFmtId="0" fontId="3" fillId="0" borderId="19" xfId="6" applyFont="1" applyFill="1" applyBorder="1" applyAlignment="1">
      <alignment horizontal="left" vertical="center" wrapText="1" indent="2"/>
    </xf>
    <xf numFmtId="0" fontId="4" fillId="0" borderId="19" xfId="6" applyFont="1" applyBorder="1" applyAlignment="1">
      <alignment horizontal="center" vertical="center"/>
    </xf>
    <xf numFmtId="165" fontId="4" fillId="0" borderId="19" xfId="6" applyNumberFormat="1" applyFont="1" applyFill="1" applyBorder="1" applyAlignment="1">
      <alignment vertical="center"/>
    </xf>
    <xf numFmtId="0" fontId="3" fillId="0" borderId="17" xfId="6" applyFont="1" applyFill="1" applyBorder="1" applyAlignment="1">
      <alignment vertical="center" wrapText="1"/>
    </xf>
    <xf numFmtId="10" fontId="4" fillId="0" borderId="17" xfId="6" applyNumberFormat="1" applyFont="1" applyFill="1" applyBorder="1" applyAlignment="1">
      <alignment vertical="center"/>
    </xf>
    <xf numFmtId="0" fontId="3" fillId="0" borderId="19" xfId="6" applyFont="1" applyFill="1" applyBorder="1" applyAlignment="1">
      <alignment vertical="center" wrapText="1"/>
    </xf>
    <xf numFmtId="10" fontId="4" fillId="0" borderId="19" xfId="6" applyNumberFormat="1" applyFont="1" applyFill="1" applyBorder="1" applyAlignment="1">
      <alignment vertical="center"/>
    </xf>
    <xf numFmtId="164" fontId="3" fillId="0" borderId="17" xfId="6" applyNumberFormat="1" applyFont="1" applyFill="1" applyBorder="1" applyAlignment="1">
      <alignment vertical="center"/>
    </xf>
    <xf numFmtId="165" fontId="3" fillId="0" borderId="17" xfId="6" applyNumberFormat="1" applyFont="1" applyFill="1" applyBorder="1" applyAlignment="1">
      <alignment vertical="center"/>
    </xf>
    <xf numFmtId="1" fontId="21" fillId="0" borderId="0" xfId="0" applyNumberFormat="1" applyFont="1" applyAlignment="1">
      <alignment horizontal="center" vertical="center"/>
    </xf>
    <xf numFmtId="165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4" fontId="21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49" fontId="4" fillId="0" borderId="12" xfId="5" applyNumberFormat="1" applyFont="1" applyFill="1" applyBorder="1" applyAlignment="1">
      <alignment horizontal="center" vertical="center"/>
    </xf>
    <xf numFmtId="49" fontId="4" fillId="0" borderId="12" xfId="5" applyNumberFormat="1" applyFont="1" applyFill="1" applyBorder="1" applyAlignment="1">
      <alignment horizontal="center" vertical="center" wrapText="1"/>
    </xf>
    <xf numFmtId="49" fontId="4" fillId="0" borderId="12" xfId="5" applyNumberFormat="1" applyFont="1" applyFill="1" applyBorder="1" applyAlignment="1">
      <alignment horizontal="center"/>
    </xf>
    <xf numFmtId="0" fontId="4" fillId="0" borderId="12" xfId="5" applyFont="1" applyFill="1" applyBorder="1" applyAlignment="1">
      <alignment horizontal="center" vertical="center"/>
    </xf>
    <xf numFmtId="165" fontId="4" fillId="0" borderId="12" xfId="5" applyNumberFormat="1" applyFont="1" applyFill="1" applyBorder="1" applyAlignment="1" applyProtection="1">
      <alignment vertical="center"/>
      <protection locked="0"/>
    </xf>
    <xf numFmtId="0" fontId="10" fillId="0" borderId="12" xfId="5" applyFont="1" applyFill="1" applyBorder="1" applyAlignment="1">
      <alignment vertical="center" wrapText="1"/>
    </xf>
    <xf numFmtId="165" fontId="4" fillId="0" borderId="12" xfId="5" applyNumberFormat="1" applyFont="1" applyFill="1" applyBorder="1" applyAlignment="1" applyProtection="1">
      <alignment vertical="center"/>
    </xf>
    <xf numFmtId="0" fontId="10" fillId="0" borderId="12" xfId="5" applyFont="1" applyFill="1" applyBorder="1" applyAlignment="1">
      <alignment horizontal="center" vertical="center"/>
    </xf>
    <xf numFmtId="0" fontId="3" fillId="0" borderId="18" xfId="5" applyFont="1" applyFill="1" applyBorder="1" applyAlignment="1">
      <alignment horizontal="center" vertical="center"/>
    </xf>
    <xf numFmtId="0" fontId="3" fillId="0" borderId="18" xfId="5" applyFont="1" applyFill="1" applyBorder="1" applyAlignment="1">
      <alignment horizontal="left" vertical="center" wrapText="1" indent="1"/>
    </xf>
    <xf numFmtId="165" fontId="3" fillId="0" borderId="18" xfId="5" applyNumberFormat="1" applyFont="1" applyFill="1" applyBorder="1" applyAlignment="1" applyProtection="1">
      <alignment vertical="center"/>
      <protection locked="0"/>
    </xf>
    <xf numFmtId="0" fontId="3" fillId="0" borderId="18" xfId="5" applyFont="1" applyFill="1" applyBorder="1" applyAlignment="1">
      <alignment horizontal="left" vertical="center" wrapText="1" indent="2"/>
    </xf>
    <xf numFmtId="0" fontId="3" fillId="0" borderId="18" xfId="5" quotePrefix="1" applyFont="1" applyFill="1" applyBorder="1" applyAlignment="1">
      <alignment horizontal="left" vertical="center" wrapText="1" indent="1"/>
    </xf>
    <xf numFmtId="0" fontId="13" fillId="0" borderId="18" xfId="5" applyFont="1" applyFill="1" applyBorder="1" applyAlignment="1">
      <alignment horizontal="left" vertical="center" wrapText="1" indent="2"/>
    </xf>
    <xf numFmtId="0" fontId="13" fillId="0" borderId="18" xfId="5" applyFont="1" applyFill="1" applyBorder="1" applyAlignment="1">
      <alignment horizontal="left" vertical="center" wrapText="1" indent="1"/>
    </xf>
    <xf numFmtId="165" fontId="4" fillId="0" borderId="18" xfId="5" applyNumberFormat="1" applyFont="1" applyFill="1" applyBorder="1" applyAlignment="1">
      <alignment vertical="center"/>
    </xf>
    <xf numFmtId="0" fontId="10" fillId="0" borderId="18" xfId="5" applyFont="1" applyFill="1" applyBorder="1" applyAlignment="1">
      <alignment horizontal="center" vertical="center"/>
    </xf>
    <xf numFmtId="0" fontId="13" fillId="0" borderId="18" xfId="5" applyFont="1" applyFill="1" applyBorder="1" applyAlignment="1">
      <alignment horizontal="center" vertical="center"/>
    </xf>
    <xf numFmtId="0" fontId="3" fillId="0" borderId="18" xfId="5" applyFont="1" applyFill="1" applyBorder="1" applyAlignment="1">
      <alignment vertical="center" wrapText="1"/>
    </xf>
    <xf numFmtId="10" fontId="3" fillId="0" borderId="18" xfId="7" applyNumberFormat="1" applyFont="1" applyFill="1" applyBorder="1" applyAlignment="1">
      <alignment vertical="center"/>
    </xf>
    <xf numFmtId="0" fontId="13" fillId="0" borderId="18" xfId="5" applyFont="1" applyFill="1" applyBorder="1" applyAlignment="1">
      <alignment vertical="center" wrapText="1"/>
    </xf>
    <xf numFmtId="0" fontId="4" fillId="0" borderId="18" xfId="6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top" wrapText="1" inden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top" wrapText="1" indent="1"/>
    </xf>
    <xf numFmtId="165" fontId="4" fillId="0" borderId="19" xfId="5" applyNumberFormat="1" applyFont="1" applyFill="1" applyBorder="1" applyAlignment="1">
      <alignment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17" xfId="5" applyFont="1" applyFill="1" applyBorder="1" applyAlignment="1">
      <alignment vertical="center" wrapText="1"/>
    </xf>
    <xf numFmtId="165" fontId="4" fillId="0" borderId="17" xfId="5" applyNumberFormat="1" applyFont="1" applyFill="1" applyBorder="1" applyAlignment="1" applyProtection="1">
      <alignment vertical="center"/>
      <protection locked="0"/>
    </xf>
    <xf numFmtId="0" fontId="3" fillId="0" borderId="19" xfId="5" applyFont="1" applyFill="1" applyBorder="1" applyAlignment="1">
      <alignment horizontal="center" vertical="center"/>
    </xf>
    <xf numFmtId="0" fontId="3" fillId="0" borderId="19" xfId="5" applyFont="1" applyFill="1" applyBorder="1" applyAlignment="1">
      <alignment horizontal="left" vertical="center" wrapText="1" indent="2"/>
    </xf>
    <xf numFmtId="165" fontId="3" fillId="0" borderId="19" xfId="5" applyNumberFormat="1" applyFont="1" applyFill="1" applyBorder="1" applyAlignment="1" applyProtection="1">
      <alignment vertical="center"/>
      <protection locked="0"/>
    </xf>
    <xf numFmtId="0" fontId="3" fillId="0" borderId="19" xfId="5" applyFont="1" applyFill="1" applyBorder="1" applyAlignment="1">
      <alignment horizontal="left" vertical="center" wrapText="1" indent="1"/>
    </xf>
    <xf numFmtId="165" fontId="4" fillId="0" borderId="20" xfId="5" applyNumberFormat="1" applyFont="1" applyFill="1" applyBorder="1" applyAlignment="1">
      <alignment vertical="center"/>
    </xf>
    <xf numFmtId="165" fontId="4" fillId="0" borderId="17" xfId="5" applyNumberFormat="1" applyFont="1" applyFill="1" applyBorder="1" applyAlignment="1">
      <alignment vertical="center"/>
    </xf>
    <xf numFmtId="165" fontId="3" fillId="0" borderId="19" xfId="5" applyNumberFormat="1" applyFont="1" applyFill="1" applyBorder="1" applyAlignment="1">
      <alignment vertical="center"/>
    </xf>
    <xf numFmtId="165" fontId="4" fillId="0" borderId="17" xfId="5" applyNumberFormat="1" applyFont="1" applyFill="1" applyBorder="1" applyAlignment="1">
      <alignment vertical="center" wrapText="1"/>
    </xf>
    <xf numFmtId="0" fontId="10" fillId="0" borderId="17" xfId="5" applyFont="1" applyFill="1" applyBorder="1" applyAlignment="1">
      <alignment horizontal="center" vertical="center"/>
    </xf>
    <xf numFmtId="0" fontId="10" fillId="0" borderId="17" xfId="5" applyFont="1" applyFill="1" applyBorder="1" applyAlignment="1">
      <alignment vertical="center" wrapText="1"/>
    </xf>
    <xf numFmtId="0" fontId="13" fillId="0" borderId="19" xfId="5" applyFont="1" applyFill="1" applyBorder="1" applyAlignment="1">
      <alignment horizontal="center" vertical="center"/>
    </xf>
    <xf numFmtId="0" fontId="13" fillId="0" borderId="19" xfId="5" applyFont="1" applyFill="1" applyBorder="1" applyAlignment="1">
      <alignment horizontal="left" vertical="center" wrapText="1" indent="1"/>
    </xf>
    <xf numFmtId="0" fontId="13" fillId="0" borderId="17" xfId="5" applyFont="1" applyFill="1" applyBorder="1" applyAlignment="1">
      <alignment horizontal="center" vertical="center"/>
    </xf>
    <xf numFmtId="0" fontId="3" fillId="0" borderId="17" xfId="5" applyFont="1" applyFill="1" applyBorder="1" applyAlignment="1">
      <alignment vertical="center" wrapText="1"/>
    </xf>
    <xf numFmtId="10" fontId="3" fillId="0" borderId="17" xfId="7" applyNumberFormat="1" applyFont="1" applyFill="1" applyBorder="1" applyAlignment="1">
      <alignment vertical="center"/>
    </xf>
    <xf numFmtId="0" fontId="13" fillId="0" borderId="19" xfId="5" applyFont="1" applyFill="1" applyBorder="1" applyAlignment="1">
      <alignment horizontal="left" vertical="center" wrapText="1"/>
    </xf>
    <xf numFmtId="10" fontId="3" fillId="0" borderId="19" xfId="7" applyNumberFormat="1" applyFont="1" applyFill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vertical="top" wrapText="1"/>
    </xf>
    <xf numFmtId="0" fontId="4" fillId="0" borderId="19" xfId="6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top" wrapText="1" indent="1"/>
    </xf>
    <xf numFmtId="0" fontId="12" fillId="0" borderId="19" xfId="0" applyFont="1" applyBorder="1" applyAlignment="1">
      <alignment horizontal="left" vertical="top" wrapText="1" indent="2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 wrapText="1" indent="1"/>
    </xf>
    <xf numFmtId="0" fontId="4" fillId="0" borderId="19" xfId="0" applyFont="1" applyBorder="1" applyAlignment="1">
      <alignment horizontal="left" vertical="top" wrapText="1" indent="2"/>
    </xf>
    <xf numFmtId="0" fontId="14" fillId="0" borderId="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14" fillId="6" borderId="0" xfId="0" applyFont="1" applyFill="1"/>
    <xf numFmtId="0" fontId="14" fillId="7" borderId="0" xfId="0" applyFont="1" applyFill="1"/>
    <xf numFmtId="0" fontId="16" fillId="7" borderId="17" xfId="0" applyFont="1" applyFill="1" applyBorder="1" applyAlignment="1">
      <alignment horizontal="right" wrapText="1"/>
    </xf>
    <xf numFmtId="165" fontId="8" fillId="0" borderId="17" xfId="0" applyNumberFormat="1" applyFont="1" applyBorder="1" applyAlignment="1">
      <alignment vertical="center"/>
    </xf>
    <xf numFmtId="0" fontId="16" fillId="0" borderId="18" xfId="0" applyFont="1" applyBorder="1" applyAlignment="1">
      <alignment horizontal="right" wrapText="1"/>
    </xf>
    <xf numFmtId="165" fontId="8" fillId="0" borderId="18" xfId="0" applyNumberFormat="1" applyFont="1" applyBorder="1" applyAlignment="1">
      <alignment vertical="center"/>
    </xf>
    <xf numFmtId="0" fontId="16" fillId="7" borderId="18" xfId="0" applyFont="1" applyFill="1" applyBorder="1" applyAlignment="1">
      <alignment horizontal="right" wrapText="1"/>
    </xf>
    <xf numFmtId="0" fontId="17" fillId="0" borderId="18" xfId="0" applyFont="1" applyBorder="1" applyAlignment="1">
      <alignment horizontal="right" wrapText="1"/>
    </xf>
    <xf numFmtId="0" fontId="8" fillId="0" borderId="18" xfId="0" applyFont="1" applyBorder="1" applyAlignment="1">
      <alignment vertical="center"/>
    </xf>
    <xf numFmtId="0" fontId="16" fillId="6" borderId="18" xfId="0" applyFont="1" applyFill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8" fillId="0" borderId="18" xfId="0" applyFont="1" applyBorder="1" applyAlignment="1">
      <alignment horizontal="center" vertical="center"/>
    </xf>
    <xf numFmtId="0" fontId="16" fillId="6" borderId="18" xfId="0" applyFont="1" applyFill="1" applyBorder="1" applyAlignment="1">
      <alignment horizontal="right" wrapText="1"/>
    </xf>
    <xf numFmtId="0" fontId="8" fillId="0" borderId="18" xfId="0" applyFont="1" applyBorder="1"/>
    <xf numFmtId="0" fontId="16" fillId="6" borderId="19" xfId="0" applyFont="1" applyFill="1" applyBorder="1" applyAlignment="1">
      <alignment horizontal="right" wrapText="1"/>
    </xf>
    <xf numFmtId="0" fontId="8" fillId="0" borderId="19" xfId="0" applyFont="1" applyBorder="1" applyAlignment="1">
      <alignment vertical="center"/>
    </xf>
    <xf numFmtId="0" fontId="18" fillId="0" borderId="0" xfId="0" applyFont="1"/>
    <xf numFmtId="0" fontId="24" fillId="0" borderId="0" xfId="0" applyFont="1" applyBorder="1" applyAlignment="1">
      <alignment horizontal="center" vertical="center"/>
    </xf>
  </cellXfs>
  <cellStyles count="9">
    <cellStyle name="Normalny" xfId="0" builtinId="0"/>
    <cellStyle name="Normalny 2" xfId="1"/>
    <cellStyle name="Normalny 3" xfId="2"/>
    <cellStyle name="Normalny 4" xfId="3"/>
    <cellStyle name="Normalny 5" xfId="4"/>
    <cellStyle name="Normalny 6" xfId="5"/>
    <cellStyle name="Normalny 6 2" xfId="6"/>
    <cellStyle name="Procentowy" xfId="7" builtinId="5"/>
    <cellStyle name="Procentowy 2" xfId="8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rgb="FF66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7">
    <tabColor rgb="FF00B050"/>
  </sheetPr>
  <dimension ref="A1:IL89"/>
  <sheetViews>
    <sheetView tabSelected="1" topLeftCell="M1" zoomScaleNormal="100" zoomScaleSheetLayoutView="100" workbookViewId="0">
      <selection sqref="A1:U56"/>
    </sheetView>
  </sheetViews>
  <sheetFormatPr defaultRowHeight="12"/>
  <cols>
    <col min="1" max="1" width="3.75" style="1" customWidth="1"/>
    <col min="2" max="2" width="43.875" style="1" customWidth="1"/>
    <col min="3" max="21" width="11.625" style="1" customWidth="1"/>
    <col min="22" max="41" width="11.625" style="1" hidden="1" customWidth="1"/>
    <col min="42" max="16384" width="9" style="1"/>
  </cols>
  <sheetData>
    <row r="1" spans="1:246" s="4" customFormat="1">
      <c r="B1" s="26"/>
      <c r="C1" s="16"/>
      <c r="D1" s="22"/>
      <c r="F1" s="1"/>
      <c r="G1" s="38"/>
      <c r="H1" s="38"/>
      <c r="I1" s="38"/>
      <c r="J1" s="1"/>
      <c r="K1" s="1"/>
      <c r="L1" s="1"/>
      <c r="M1" s="1"/>
      <c r="N1" s="1"/>
      <c r="O1" s="1"/>
      <c r="P1" s="1"/>
      <c r="Q1" s="1" t="s">
        <v>218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246" s="4" customFormat="1">
      <c r="B2" s="19"/>
      <c r="C2" s="20"/>
      <c r="F2" s="16"/>
      <c r="G2" s="38"/>
      <c r="H2" s="38"/>
      <c r="I2" s="38"/>
      <c r="J2" s="1"/>
      <c r="K2" s="1"/>
      <c r="L2" s="1"/>
      <c r="M2" s="1"/>
      <c r="N2" s="1"/>
      <c r="O2" s="1"/>
      <c r="P2" s="1"/>
      <c r="Q2" s="1" t="s">
        <v>219</v>
      </c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246" s="4" customFormat="1" ht="14.25">
      <c r="B3" s="181" t="s">
        <v>222</v>
      </c>
      <c r="C3" s="21"/>
      <c r="D3" s="3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220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246" s="4" customFormat="1" ht="15">
      <c r="A4" s="1"/>
      <c r="B4" s="180" t="str">
        <f>""</f>
        <v/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 t="s">
        <v>221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246" s="29" customFormat="1">
      <c r="A5" s="59" t="s">
        <v>0</v>
      </c>
      <c r="B5" s="60" t="s">
        <v>1</v>
      </c>
      <c r="C5" s="61">
        <v>2012</v>
      </c>
      <c r="D5" s="61">
        <v>2013</v>
      </c>
      <c r="E5" s="61">
        <v>2014</v>
      </c>
      <c r="F5" s="61">
        <v>2015</v>
      </c>
      <c r="G5" s="61">
        <v>2016</v>
      </c>
      <c r="H5" s="61">
        <v>2017</v>
      </c>
      <c r="I5" s="61">
        <v>2018</v>
      </c>
      <c r="J5" s="61">
        <v>2019</v>
      </c>
      <c r="K5" s="61">
        <v>2020</v>
      </c>
      <c r="L5" s="61">
        <v>2021</v>
      </c>
      <c r="M5" s="61">
        <v>2022</v>
      </c>
      <c r="N5" s="61">
        <v>2023</v>
      </c>
      <c r="O5" s="61">
        <v>2024</v>
      </c>
      <c r="P5" s="61">
        <v>2025</v>
      </c>
      <c r="Q5" s="61">
        <v>2026</v>
      </c>
      <c r="R5" s="61">
        <v>2027</v>
      </c>
      <c r="S5" s="61">
        <v>2028</v>
      </c>
      <c r="T5" s="61">
        <v>2029</v>
      </c>
      <c r="U5" s="61">
        <v>2030</v>
      </c>
      <c r="V5" s="61">
        <v>2031</v>
      </c>
      <c r="W5" s="61">
        <v>2032</v>
      </c>
      <c r="X5" s="61">
        <v>2033</v>
      </c>
      <c r="Y5" s="61">
        <v>2034</v>
      </c>
      <c r="Z5" s="61">
        <v>2035</v>
      </c>
      <c r="AA5" s="61">
        <v>2036</v>
      </c>
      <c r="AB5" s="61">
        <v>2037</v>
      </c>
      <c r="AC5" s="61">
        <v>2038</v>
      </c>
      <c r="AD5" s="61">
        <v>2039</v>
      </c>
      <c r="AE5" s="61">
        <v>2040</v>
      </c>
      <c r="AF5" s="61">
        <v>2041</v>
      </c>
      <c r="AG5" s="61">
        <v>2042</v>
      </c>
      <c r="AH5" s="61">
        <v>2043</v>
      </c>
      <c r="AI5" s="61">
        <v>2044</v>
      </c>
      <c r="AJ5" s="61">
        <v>2045</v>
      </c>
      <c r="AK5" s="61">
        <v>2046</v>
      </c>
      <c r="AL5" s="61">
        <v>2047</v>
      </c>
      <c r="AM5" s="61">
        <v>2048</v>
      </c>
      <c r="AN5" s="61">
        <v>2049</v>
      </c>
      <c r="AO5" s="61">
        <v>2050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</row>
    <row r="6" spans="1:246">
      <c r="A6" s="68" t="s">
        <v>45</v>
      </c>
      <c r="B6" s="69" t="s">
        <v>57</v>
      </c>
      <c r="C6" s="70">
        <f>+C7+C9</f>
        <v>404385559.97000003</v>
      </c>
      <c r="D6" s="70">
        <f t="shared" ref="D6:AD6" si="0">+D7+D9</f>
        <v>395472749.97000003</v>
      </c>
      <c r="E6" s="70">
        <f t="shared" si="0"/>
        <v>324543423</v>
      </c>
      <c r="F6" s="70">
        <f t="shared" si="0"/>
        <v>340077909</v>
      </c>
      <c r="G6" s="70">
        <f t="shared" si="0"/>
        <v>341930158</v>
      </c>
      <c r="H6" s="70">
        <f t="shared" si="0"/>
        <v>350549063</v>
      </c>
      <c r="I6" s="70">
        <f t="shared" si="0"/>
        <v>360765535</v>
      </c>
      <c r="J6" s="70">
        <f t="shared" si="0"/>
        <v>368288501</v>
      </c>
      <c r="K6" s="70">
        <f t="shared" si="0"/>
        <v>378127156</v>
      </c>
      <c r="L6" s="70">
        <f t="shared" si="0"/>
        <v>387290971</v>
      </c>
      <c r="M6" s="70">
        <f t="shared" si="0"/>
        <v>397789700</v>
      </c>
      <c r="N6" s="70">
        <f t="shared" si="0"/>
        <v>410133391</v>
      </c>
      <c r="O6" s="70">
        <f t="shared" si="0"/>
        <v>419332393</v>
      </c>
      <c r="P6" s="70">
        <f t="shared" si="0"/>
        <v>431897365</v>
      </c>
      <c r="Q6" s="70">
        <f t="shared" si="0"/>
        <v>444839286</v>
      </c>
      <c r="R6" s="70">
        <f t="shared" si="0"/>
        <v>458169464</v>
      </c>
      <c r="S6" s="70">
        <f t="shared" si="0"/>
        <v>471899548</v>
      </c>
      <c r="T6" s="70">
        <f t="shared" si="0"/>
        <v>486041534</v>
      </c>
      <c r="U6" s="70">
        <f t="shared" si="0"/>
        <v>500607780</v>
      </c>
      <c r="V6" s="70">
        <f t="shared" si="0"/>
        <v>0</v>
      </c>
      <c r="W6" s="70">
        <f t="shared" si="0"/>
        <v>0</v>
      </c>
      <c r="X6" s="70">
        <f t="shared" si="0"/>
        <v>0</v>
      </c>
      <c r="Y6" s="70">
        <f t="shared" si="0"/>
        <v>0</v>
      </c>
      <c r="Z6" s="70">
        <f t="shared" si="0"/>
        <v>0</v>
      </c>
      <c r="AA6" s="70">
        <f t="shared" si="0"/>
        <v>0</v>
      </c>
      <c r="AB6" s="70">
        <f t="shared" si="0"/>
        <v>0</v>
      </c>
      <c r="AC6" s="70">
        <f t="shared" si="0"/>
        <v>0</v>
      </c>
      <c r="AD6" s="70">
        <f t="shared" si="0"/>
        <v>0</v>
      </c>
      <c r="AE6" s="70">
        <f t="shared" ref="AE6:AO6" si="1">+AE7+AE9</f>
        <v>0</v>
      </c>
      <c r="AF6" s="70">
        <f t="shared" si="1"/>
        <v>0</v>
      </c>
      <c r="AG6" s="70">
        <f t="shared" si="1"/>
        <v>0</v>
      </c>
      <c r="AH6" s="70">
        <f t="shared" si="1"/>
        <v>0</v>
      </c>
      <c r="AI6" s="70">
        <f t="shared" si="1"/>
        <v>0</v>
      </c>
      <c r="AJ6" s="70">
        <f t="shared" si="1"/>
        <v>0</v>
      </c>
      <c r="AK6" s="70">
        <f t="shared" si="1"/>
        <v>0</v>
      </c>
      <c r="AL6" s="70">
        <f t="shared" si="1"/>
        <v>0</v>
      </c>
      <c r="AM6" s="70">
        <f t="shared" si="1"/>
        <v>0</v>
      </c>
      <c r="AN6" s="70">
        <f t="shared" si="1"/>
        <v>0</v>
      </c>
      <c r="AO6" s="70">
        <f t="shared" si="1"/>
        <v>0</v>
      </c>
    </row>
    <row r="7" spans="1:246">
      <c r="A7" s="71"/>
      <c r="B7" s="72" t="s">
        <v>58</v>
      </c>
      <c r="C7" s="73">
        <f>+Zal_1_WPF_wg_przeplywow!C8</f>
        <v>315783037.79000002</v>
      </c>
      <c r="D7" s="73">
        <f>+Zal_1_WPF_wg_przeplywow!D8</f>
        <v>324141487.97000003</v>
      </c>
      <c r="E7" s="73">
        <f>+Zal_1_WPF_wg_przeplywow!E8</f>
        <v>318220327</v>
      </c>
      <c r="F7" s="73">
        <f>+Zal_1_WPF_wg_przeplywow!F8</f>
        <v>321105175</v>
      </c>
      <c r="G7" s="73">
        <f>+Zal_1_WPF_wg_przeplywow!G8</f>
        <v>330630158</v>
      </c>
      <c r="H7" s="73">
        <f>+Zal_1_WPF_wg_przeplywow!H8</f>
        <v>340549063</v>
      </c>
      <c r="I7" s="73">
        <f>+Zal_1_WPF_wg_przeplywow!I8</f>
        <v>350765535</v>
      </c>
      <c r="J7" s="73">
        <f>+Zal_1_WPF_wg_przeplywow!J8</f>
        <v>361288501</v>
      </c>
      <c r="K7" s="73">
        <f>+Zal_1_WPF_wg_przeplywow!K8</f>
        <v>372127156</v>
      </c>
      <c r="L7" s="73">
        <f>+Zal_1_WPF_wg_przeplywow!L8</f>
        <v>383290971</v>
      </c>
      <c r="M7" s="73">
        <f>+Zal_1_WPF_wg_przeplywow!M8</f>
        <v>394789700</v>
      </c>
      <c r="N7" s="73">
        <f>+Zal_1_WPF_wg_przeplywow!N8</f>
        <v>406633391</v>
      </c>
      <c r="O7" s="73">
        <f>+Zal_1_WPF_wg_przeplywow!O8</f>
        <v>418832393</v>
      </c>
      <c r="P7" s="73">
        <f>+Zal_1_WPF_wg_przeplywow!P8</f>
        <v>431397365</v>
      </c>
      <c r="Q7" s="73">
        <f>+Zal_1_WPF_wg_przeplywow!Q8</f>
        <v>444339286</v>
      </c>
      <c r="R7" s="73">
        <f>+Zal_1_WPF_wg_przeplywow!R8</f>
        <v>457669464</v>
      </c>
      <c r="S7" s="73">
        <f>+Zal_1_WPF_wg_przeplywow!S8</f>
        <v>471399548</v>
      </c>
      <c r="T7" s="73">
        <f>+Zal_1_WPF_wg_przeplywow!T8</f>
        <v>485541534</v>
      </c>
      <c r="U7" s="73">
        <f>+Zal_1_WPF_wg_przeplywow!U8</f>
        <v>500107780</v>
      </c>
      <c r="V7" s="73">
        <f>+Zal_1_WPF_wg_przeplywow!V8</f>
        <v>0</v>
      </c>
      <c r="W7" s="73">
        <f>+Zal_1_WPF_wg_przeplywow!W8</f>
        <v>0</v>
      </c>
      <c r="X7" s="73">
        <f>+Zal_1_WPF_wg_przeplywow!X8</f>
        <v>0</v>
      </c>
      <c r="Y7" s="73">
        <f>+Zal_1_WPF_wg_przeplywow!Y8</f>
        <v>0</v>
      </c>
      <c r="Z7" s="73">
        <f>+Zal_1_WPF_wg_przeplywow!Z8</f>
        <v>0</v>
      </c>
      <c r="AA7" s="73">
        <f>+Zal_1_WPF_wg_przeplywow!AA8</f>
        <v>0</v>
      </c>
      <c r="AB7" s="73">
        <f>+Zal_1_WPF_wg_przeplywow!AB8</f>
        <v>0</v>
      </c>
      <c r="AC7" s="73">
        <f>+Zal_1_WPF_wg_przeplywow!AC8</f>
        <v>0</v>
      </c>
      <c r="AD7" s="73">
        <f>+Zal_1_WPF_wg_przeplywow!AD8</f>
        <v>0</v>
      </c>
      <c r="AE7" s="73">
        <f>+Zal_1_WPF_wg_przeplywow!AE8</f>
        <v>0</v>
      </c>
      <c r="AF7" s="73">
        <f>+Zal_1_WPF_wg_przeplywow!AF8</f>
        <v>0</v>
      </c>
      <c r="AG7" s="73">
        <f>+Zal_1_WPF_wg_przeplywow!AG8</f>
        <v>0</v>
      </c>
      <c r="AH7" s="73">
        <f>+Zal_1_WPF_wg_przeplywow!AH8</f>
        <v>0</v>
      </c>
      <c r="AI7" s="73">
        <f>+Zal_1_WPF_wg_przeplywow!AI8</f>
        <v>0</v>
      </c>
      <c r="AJ7" s="73">
        <f>+Zal_1_WPF_wg_przeplywow!AJ8</f>
        <v>0</v>
      </c>
      <c r="AK7" s="73">
        <f>+Zal_1_WPF_wg_przeplywow!AK8</f>
        <v>0</v>
      </c>
      <c r="AL7" s="73">
        <f>+Zal_1_WPF_wg_przeplywow!AL8</f>
        <v>0</v>
      </c>
      <c r="AM7" s="73">
        <f>+Zal_1_WPF_wg_przeplywow!AM8</f>
        <v>0</v>
      </c>
      <c r="AN7" s="73">
        <f>+Zal_1_WPF_wg_przeplywow!AN8</f>
        <v>0</v>
      </c>
      <c r="AO7" s="73">
        <f>+Zal_1_WPF_wg_przeplywow!AO8</f>
        <v>0</v>
      </c>
    </row>
    <row r="8" spans="1:246">
      <c r="A8" s="71"/>
      <c r="B8" s="74" t="s">
        <v>84</v>
      </c>
      <c r="C8" s="73">
        <f>+Zal_1_WPF_wg_przeplywow!C9</f>
        <v>0</v>
      </c>
      <c r="D8" s="73">
        <f>+Zal_1_WPF_wg_przeplywow!D9</f>
        <v>0</v>
      </c>
      <c r="E8" s="73">
        <f>+Zal_1_WPF_wg_przeplywow!E9</f>
        <v>0</v>
      </c>
      <c r="F8" s="73">
        <f>+Zal_1_WPF_wg_przeplywow!F9</f>
        <v>0</v>
      </c>
      <c r="G8" s="73">
        <f>+Zal_1_WPF_wg_przeplywow!G9</f>
        <v>0</v>
      </c>
      <c r="H8" s="73">
        <f>+Zal_1_WPF_wg_przeplywow!H9</f>
        <v>0</v>
      </c>
      <c r="I8" s="73">
        <f>+Zal_1_WPF_wg_przeplywow!I9</f>
        <v>0</v>
      </c>
      <c r="J8" s="73">
        <f>+Zal_1_WPF_wg_przeplywow!J9</f>
        <v>0</v>
      </c>
      <c r="K8" s="73">
        <f>+Zal_1_WPF_wg_przeplywow!K9</f>
        <v>0</v>
      </c>
      <c r="L8" s="73">
        <f>+Zal_1_WPF_wg_przeplywow!L9</f>
        <v>0</v>
      </c>
      <c r="M8" s="73">
        <f>+Zal_1_WPF_wg_przeplywow!M9</f>
        <v>0</v>
      </c>
      <c r="N8" s="73">
        <f>+Zal_1_WPF_wg_przeplywow!N9</f>
        <v>0</v>
      </c>
      <c r="O8" s="73">
        <f>+Zal_1_WPF_wg_przeplywow!O9</f>
        <v>0</v>
      </c>
      <c r="P8" s="73">
        <f>+Zal_1_WPF_wg_przeplywow!P9</f>
        <v>0</v>
      </c>
      <c r="Q8" s="73">
        <f>+Zal_1_WPF_wg_przeplywow!Q9</f>
        <v>0</v>
      </c>
      <c r="R8" s="73">
        <f>+Zal_1_WPF_wg_przeplywow!R9</f>
        <v>0</v>
      </c>
      <c r="S8" s="73">
        <f>+Zal_1_WPF_wg_przeplywow!S9</f>
        <v>0</v>
      </c>
      <c r="T8" s="73">
        <f>+Zal_1_WPF_wg_przeplywow!T9</f>
        <v>0</v>
      </c>
      <c r="U8" s="73">
        <f>+Zal_1_WPF_wg_przeplywow!U9</f>
        <v>0</v>
      </c>
      <c r="V8" s="73">
        <f>+Zal_1_WPF_wg_przeplywow!V9</f>
        <v>0</v>
      </c>
      <c r="W8" s="73">
        <f>+Zal_1_WPF_wg_przeplywow!W9</f>
        <v>0</v>
      </c>
      <c r="X8" s="73">
        <f>+Zal_1_WPF_wg_przeplywow!X9</f>
        <v>0</v>
      </c>
      <c r="Y8" s="73">
        <f>+Zal_1_WPF_wg_przeplywow!Y9</f>
        <v>0</v>
      </c>
      <c r="Z8" s="73">
        <f>+Zal_1_WPF_wg_przeplywow!Z9</f>
        <v>0</v>
      </c>
      <c r="AA8" s="73">
        <f>+Zal_1_WPF_wg_przeplywow!AA9</f>
        <v>0</v>
      </c>
      <c r="AB8" s="73">
        <f>+Zal_1_WPF_wg_przeplywow!AB9</f>
        <v>0</v>
      </c>
      <c r="AC8" s="73">
        <f>+Zal_1_WPF_wg_przeplywow!AC9</f>
        <v>0</v>
      </c>
      <c r="AD8" s="73">
        <f>+Zal_1_WPF_wg_przeplywow!AD9</f>
        <v>0</v>
      </c>
      <c r="AE8" s="73">
        <f>+Zal_1_WPF_wg_przeplywow!AE9</f>
        <v>0</v>
      </c>
      <c r="AF8" s="73">
        <f>+Zal_1_WPF_wg_przeplywow!AF9</f>
        <v>0</v>
      </c>
      <c r="AG8" s="73">
        <f>+Zal_1_WPF_wg_przeplywow!AG9</f>
        <v>0</v>
      </c>
      <c r="AH8" s="73">
        <f>+Zal_1_WPF_wg_przeplywow!AH9</f>
        <v>0</v>
      </c>
      <c r="AI8" s="73">
        <f>+Zal_1_WPF_wg_przeplywow!AI9</f>
        <v>0</v>
      </c>
      <c r="AJ8" s="73">
        <f>+Zal_1_WPF_wg_przeplywow!AJ9</f>
        <v>0</v>
      </c>
      <c r="AK8" s="73">
        <f>+Zal_1_WPF_wg_przeplywow!AK9</f>
        <v>0</v>
      </c>
      <c r="AL8" s="73">
        <f>+Zal_1_WPF_wg_przeplywow!AL9</f>
        <v>0</v>
      </c>
      <c r="AM8" s="73">
        <f>+Zal_1_WPF_wg_przeplywow!AM9</f>
        <v>0</v>
      </c>
      <c r="AN8" s="73">
        <f>+Zal_1_WPF_wg_przeplywow!AN9</f>
        <v>0</v>
      </c>
      <c r="AO8" s="73">
        <f>+Zal_1_WPF_wg_przeplywow!AO9</f>
        <v>0</v>
      </c>
    </row>
    <row r="9" spans="1:246">
      <c r="A9" s="71"/>
      <c r="B9" s="72" t="s">
        <v>85</v>
      </c>
      <c r="C9" s="73">
        <f>+Zal_1_WPF_wg_przeplywow!C10</f>
        <v>88602522.180000007</v>
      </c>
      <c r="D9" s="73">
        <f>+Zal_1_WPF_wg_przeplywow!D10</f>
        <v>71331262</v>
      </c>
      <c r="E9" s="73">
        <f>+Zal_1_WPF_wg_przeplywow!E10</f>
        <v>6323096</v>
      </c>
      <c r="F9" s="73">
        <f>+Zal_1_WPF_wg_przeplywow!F10</f>
        <v>18972734</v>
      </c>
      <c r="G9" s="73">
        <f>+Zal_1_WPF_wg_przeplywow!G10</f>
        <v>11300000</v>
      </c>
      <c r="H9" s="73">
        <f>+Zal_1_WPF_wg_przeplywow!H10</f>
        <v>10000000</v>
      </c>
      <c r="I9" s="73">
        <f>+Zal_1_WPF_wg_przeplywow!I10</f>
        <v>10000000</v>
      </c>
      <c r="J9" s="73">
        <f>+Zal_1_WPF_wg_przeplywow!J10</f>
        <v>7000000</v>
      </c>
      <c r="K9" s="73">
        <f>+Zal_1_WPF_wg_przeplywow!K10</f>
        <v>6000000</v>
      </c>
      <c r="L9" s="73">
        <f>+Zal_1_WPF_wg_przeplywow!L10</f>
        <v>4000000</v>
      </c>
      <c r="M9" s="73">
        <f>+Zal_1_WPF_wg_przeplywow!M10</f>
        <v>3000000</v>
      </c>
      <c r="N9" s="73">
        <f>+Zal_1_WPF_wg_przeplywow!N10</f>
        <v>3500000</v>
      </c>
      <c r="O9" s="73">
        <f>+Zal_1_WPF_wg_przeplywow!O10</f>
        <v>500000</v>
      </c>
      <c r="P9" s="73">
        <f>+Zal_1_WPF_wg_przeplywow!P10</f>
        <v>500000</v>
      </c>
      <c r="Q9" s="73">
        <f>+Zal_1_WPF_wg_przeplywow!Q10</f>
        <v>500000</v>
      </c>
      <c r="R9" s="73">
        <f>+Zal_1_WPF_wg_przeplywow!R10</f>
        <v>500000</v>
      </c>
      <c r="S9" s="73">
        <f>+Zal_1_WPF_wg_przeplywow!S10</f>
        <v>500000</v>
      </c>
      <c r="T9" s="73">
        <f>+Zal_1_WPF_wg_przeplywow!T10</f>
        <v>500000</v>
      </c>
      <c r="U9" s="73">
        <f>+Zal_1_WPF_wg_przeplywow!U10</f>
        <v>500000</v>
      </c>
      <c r="V9" s="73">
        <f>+Zal_1_WPF_wg_przeplywow!V10</f>
        <v>0</v>
      </c>
      <c r="W9" s="73">
        <f>+Zal_1_WPF_wg_przeplywow!W10</f>
        <v>0</v>
      </c>
      <c r="X9" s="73">
        <f>+Zal_1_WPF_wg_przeplywow!X10</f>
        <v>0</v>
      </c>
      <c r="Y9" s="73">
        <f>+Zal_1_WPF_wg_przeplywow!Y10</f>
        <v>0</v>
      </c>
      <c r="Z9" s="73">
        <f>+Zal_1_WPF_wg_przeplywow!Z10</f>
        <v>0</v>
      </c>
      <c r="AA9" s="73">
        <f>+Zal_1_WPF_wg_przeplywow!AA10</f>
        <v>0</v>
      </c>
      <c r="AB9" s="73">
        <f>+Zal_1_WPF_wg_przeplywow!AB10</f>
        <v>0</v>
      </c>
      <c r="AC9" s="73">
        <f>+Zal_1_WPF_wg_przeplywow!AC10</f>
        <v>0</v>
      </c>
      <c r="AD9" s="73">
        <f>+Zal_1_WPF_wg_przeplywow!AD10</f>
        <v>0</v>
      </c>
      <c r="AE9" s="73">
        <f>+Zal_1_WPF_wg_przeplywow!AE10</f>
        <v>0</v>
      </c>
      <c r="AF9" s="73">
        <f>+Zal_1_WPF_wg_przeplywow!AF10</f>
        <v>0</v>
      </c>
      <c r="AG9" s="73">
        <f>+Zal_1_WPF_wg_przeplywow!AG10</f>
        <v>0</v>
      </c>
      <c r="AH9" s="73">
        <f>+Zal_1_WPF_wg_przeplywow!AH10</f>
        <v>0</v>
      </c>
      <c r="AI9" s="73">
        <f>+Zal_1_WPF_wg_przeplywow!AI10</f>
        <v>0</v>
      </c>
      <c r="AJ9" s="73">
        <f>+Zal_1_WPF_wg_przeplywow!AJ10</f>
        <v>0</v>
      </c>
      <c r="AK9" s="73">
        <f>+Zal_1_WPF_wg_przeplywow!AK10</f>
        <v>0</v>
      </c>
      <c r="AL9" s="73">
        <f>+Zal_1_WPF_wg_przeplywow!AL10</f>
        <v>0</v>
      </c>
      <c r="AM9" s="73">
        <f>+Zal_1_WPF_wg_przeplywow!AM10</f>
        <v>0</v>
      </c>
      <c r="AN9" s="73">
        <f>+Zal_1_WPF_wg_przeplywow!AN10</f>
        <v>0</v>
      </c>
      <c r="AO9" s="73">
        <f>+Zal_1_WPF_wg_przeplywow!AO10</f>
        <v>0</v>
      </c>
    </row>
    <row r="10" spans="1:246">
      <c r="A10" s="71"/>
      <c r="B10" s="75" t="s">
        <v>86</v>
      </c>
      <c r="C10" s="73">
        <f>+Zal_1_WPF_wg_przeplywow!C11</f>
        <v>5006900</v>
      </c>
      <c r="D10" s="73">
        <f>+Zal_1_WPF_wg_przeplywow!D11</f>
        <v>4200000</v>
      </c>
      <c r="E10" s="73">
        <f>+Zal_1_WPF_wg_przeplywow!E11</f>
        <v>6000000</v>
      </c>
      <c r="F10" s="73">
        <f>+Zal_1_WPF_wg_przeplywow!F11</f>
        <v>11000000</v>
      </c>
      <c r="G10" s="73">
        <f>+Zal_1_WPF_wg_przeplywow!G11</f>
        <v>11300000</v>
      </c>
      <c r="H10" s="73">
        <f>+Zal_1_WPF_wg_przeplywow!H11</f>
        <v>10000000</v>
      </c>
      <c r="I10" s="73">
        <f>+Zal_1_WPF_wg_przeplywow!I11</f>
        <v>10000000</v>
      </c>
      <c r="J10" s="73">
        <f>+Zal_1_WPF_wg_przeplywow!J11</f>
        <v>7000000</v>
      </c>
      <c r="K10" s="73">
        <f>+Zal_1_WPF_wg_przeplywow!K11</f>
        <v>6000000</v>
      </c>
      <c r="L10" s="73">
        <f>+Zal_1_WPF_wg_przeplywow!L11</f>
        <v>4000000</v>
      </c>
      <c r="M10" s="73">
        <f>+Zal_1_WPF_wg_przeplywow!M11</f>
        <v>3000000</v>
      </c>
      <c r="N10" s="73">
        <f>+Zal_1_WPF_wg_przeplywow!N11</f>
        <v>3500000</v>
      </c>
      <c r="O10" s="73">
        <f>+Zal_1_WPF_wg_przeplywow!O11</f>
        <v>500000</v>
      </c>
      <c r="P10" s="73">
        <f>+Zal_1_WPF_wg_przeplywow!P11</f>
        <v>500000</v>
      </c>
      <c r="Q10" s="73">
        <f>+Zal_1_WPF_wg_przeplywow!Q11</f>
        <v>500000</v>
      </c>
      <c r="R10" s="73">
        <f>+Zal_1_WPF_wg_przeplywow!R11</f>
        <v>500000</v>
      </c>
      <c r="S10" s="73">
        <f>+Zal_1_WPF_wg_przeplywow!S11</f>
        <v>500000</v>
      </c>
      <c r="T10" s="73">
        <f>+Zal_1_WPF_wg_przeplywow!T11</f>
        <v>500000</v>
      </c>
      <c r="U10" s="73">
        <f>+Zal_1_WPF_wg_przeplywow!U11</f>
        <v>500000</v>
      </c>
      <c r="V10" s="73">
        <f>+Zal_1_WPF_wg_przeplywow!V11</f>
        <v>0</v>
      </c>
      <c r="W10" s="73">
        <f>+Zal_1_WPF_wg_przeplywow!W11</f>
        <v>0</v>
      </c>
      <c r="X10" s="73">
        <f>+Zal_1_WPF_wg_przeplywow!X11</f>
        <v>0</v>
      </c>
      <c r="Y10" s="73">
        <f>+Zal_1_WPF_wg_przeplywow!Y11</f>
        <v>0</v>
      </c>
      <c r="Z10" s="73">
        <f>+Zal_1_WPF_wg_przeplywow!Z11</f>
        <v>0</v>
      </c>
      <c r="AA10" s="73">
        <f>+Zal_1_WPF_wg_przeplywow!AA11</f>
        <v>0</v>
      </c>
      <c r="AB10" s="73">
        <f>+Zal_1_WPF_wg_przeplywow!AB11</f>
        <v>0</v>
      </c>
      <c r="AC10" s="73">
        <f>+Zal_1_WPF_wg_przeplywow!AC11</f>
        <v>0</v>
      </c>
      <c r="AD10" s="73">
        <f>+Zal_1_WPF_wg_przeplywow!AD11</f>
        <v>0</v>
      </c>
      <c r="AE10" s="73">
        <f>+Zal_1_WPF_wg_przeplywow!AE11</f>
        <v>0</v>
      </c>
      <c r="AF10" s="73">
        <f>+Zal_1_WPF_wg_przeplywow!AF11</f>
        <v>0</v>
      </c>
      <c r="AG10" s="73">
        <f>+Zal_1_WPF_wg_przeplywow!AG11</f>
        <v>0</v>
      </c>
      <c r="AH10" s="73">
        <f>+Zal_1_WPF_wg_przeplywow!AH11</f>
        <v>0</v>
      </c>
      <c r="AI10" s="73">
        <f>+Zal_1_WPF_wg_przeplywow!AI11</f>
        <v>0</v>
      </c>
      <c r="AJ10" s="73">
        <f>+Zal_1_WPF_wg_przeplywow!AJ11</f>
        <v>0</v>
      </c>
      <c r="AK10" s="73">
        <f>+Zal_1_WPF_wg_przeplywow!AK11</f>
        <v>0</v>
      </c>
      <c r="AL10" s="73">
        <f>+Zal_1_WPF_wg_przeplywow!AL11</f>
        <v>0</v>
      </c>
      <c r="AM10" s="73">
        <f>+Zal_1_WPF_wg_przeplywow!AM11</f>
        <v>0</v>
      </c>
      <c r="AN10" s="73">
        <f>+Zal_1_WPF_wg_przeplywow!AN11</f>
        <v>0</v>
      </c>
      <c r="AO10" s="73">
        <f>+Zal_1_WPF_wg_przeplywow!AO11</f>
        <v>0</v>
      </c>
    </row>
    <row r="11" spans="1:246">
      <c r="A11" s="85"/>
      <c r="B11" s="88" t="s">
        <v>87</v>
      </c>
      <c r="C11" s="87">
        <f>+Zal_1_WPF_wg_przeplywow!C12</f>
        <v>82468845.569999993</v>
      </c>
      <c r="D11" s="87">
        <f>+Zal_1_WPF_wg_przeplywow!D12</f>
        <v>67131262</v>
      </c>
      <c r="E11" s="87">
        <f>+Zal_1_WPF_wg_przeplywow!E12</f>
        <v>323096</v>
      </c>
      <c r="F11" s="87">
        <f>+Zal_1_WPF_wg_przeplywow!F12</f>
        <v>7972734.1200000001</v>
      </c>
      <c r="G11" s="87">
        <f>+Zal_1_WPF_wg_przeplywow!G12</f>
        <v>0</v>
      </c>
      <c r="H11" s="87">
        <f>+Zal_1_WPF_wg_przeplywow!H12</f>
        <v>0</v>
      </c>
      <c r="I11" s="87">
        <f>+Zal_1_WPF_wg_przeplywow!I12</f>
        <v>0</v>
      </c>
      <c r="J11" s="87">
        <f>+Zal_1_WPF_wg_przeplywow!J12</f>
        <v>0</v>
      </c>
      <c r="K11" s="87">
        <f>+Zal_1_WPF_wg_przeplywow!K12</f>
        <v>0</v>
      </c>
      <c r="L11" s="87">
        <f>+Zal_1_WPF_wg_przeplywow!L12</f>
        <v>0</v>
      </c>
      <c r="M11" s="87">
        <f>+Zal_1_WPF_wg_przeplywow!M12</f>
        <v>0</v>
      </c>
      <c r="N11" s="87">
        <f>+Zal_1_WPF_wg_przeplywow!N12</f>
        <v>0</v>
      </c>
      <c r="O11" s="87">
        <f>+Zal_1_WPF_wg_przeplywow!O12</f>
        <v>0</v>
      </c>
      <c r="P11" s="87">
        <f>+Zal_1_WPF_wg_przeplywow!P12</f>
        <v>0</v>
      </c>
      <c r="Q11" s="87">
        <f>+Zal_1_WPF_wg_przeplywow!Q12</f>
        <v>0</v>
      </c>
      <c r="R11" s="87">
        <f>+Zal_1_WPF_wg_przeplywow!R12</f>
        <v>0</v>
      </c>
      <c r="S11" s="87">
        <f>+Zal_1_WPF_wg_przeplywow!S12</f>
        <v>0</v>
      </c>
      <c r="T11" s="87">
        <f>+Zal_1_WPF_wg_przeplywow!T12</f>
        <v>0</v>
      </c>
      <c r="U11" s="87">
        <f>+Zal_1_WPF_wg_przeplywow!U12</f>
        <v>0</v>
      </c>
      <c r="V11" s="87">
        <f>+Zal_1_WPF_wg_przeplywow!V12</f>
        <v>0</v>
      </c>
      <c r="W11" s="87">
        <f>+Zal_1_WPF_wg_przeplywow!W12</f>
        <v>0</v>
      </c>
      <c r="X11" s="87">
        <f>+Zal_1_WPF_wg_przeplywow!X12</f>
        <v>0</v>
      </c>
      <c r="Y11" s="87">
        <f>+Zal_1_WPF_wg_przeplywow!Y12</f>
        <v>0</v>
      </c>
      <c r="Z11" s="87">
        <f>+Zal_1_WPF_wg_przeplywow!Z12</f>
        <v>0</v>
      </c>
      <c r="AA11" s="87">
        <f>+Zal_1_WPF_wg_przeplywow!AA12</f>
        <v>0</v>
      </c>
      <c r="AB11" s="87">
        <f>+Zal_1_WPF_wg_przeplywow!AB12</f>
        <v>0</v>
      </c>
      <c r="AC11" s="87">
        <f>+Zal_1_WPF_wg_przeplywow!AC12</f>
        <v>0</v>
      </c>
      <c r="AD11" s="87">
        <f>+Zal_1_WPF_wg_przeplywow!AD12</f>
        <v>0</v>
      </c>
      <c r="AE11" s="87">
        <f>+Zal_1_WPF_wg_przeplywow!AE12</f>
        <v>0</v>
      </c>
      <c r="AF11" s="87">
        <f>+Zal_1_WPF_wg_przeplywow!AF12</f>
        <v>0</v>
      </c>
      <c r="AG11" s="87">
        <f>+Zal_1_WPF_wg_przeplywow!AG12</f>
        <v>0</v>
      </c>
      <c r="AH11" s="87">
        <f>+Zal_1_WPF_wg_przeplywow!AH12</f>
        <v>0</v>
      </c>
      <c r="AI11" s="87">
        <f>+Zal_1_WPF_wg_przeplywow!AI12</f>
        <v>0</v>
      </c>
      <c r="AJ11" s="87">
        <f>+Zal_1_WPF_wg_przeplywow!AJ12</f>
        <v>0</v>
      </c>
      <c r="AK11" s="87">
        <f>+Zal_1_WPF_wg_przeplywow!AK12</f>
        <v>0</v>
      </c>
      <c r="AL11" s="87">
        <f>+Zal_1_WPF_wg_przeplywow!AL12</f>
        <v>0</v>
      </c>
      <c r="AM11" s="87">
        <f>+Zal_1_WPF_wg_przeplywow!AM12</f>
        <v>0</v>
      </c>
      <c r="AN11" s="87">
        <f>+Zal_1_WPF_wg_przeplywow!AN12</f>
        <v>0</v>
      </c>
      <c r="AO11" s="87">
        <f>+Zal_1_WPF_wg_przeplywow!AO12</f>
        <v>0</v>
      </c>
    </row>
    <row r="12" spans="1:246" s="4" customFormat="1" ht="12.75" thickBot="1">
      <c r="A12" s="68" t="s">
        <v>2</v>
      </c>
      <c r="B12" s="69" t="s">
        <v>46</v>
      </c>
      <c r="C12" s="70">
        <f>+C13+C20</f>
        <v>460392537.24000001</v>
      </c>
      <c r="D12" s="70">
        <f t="shared" ref="D12:AD12" si="2">+D13+D20</f>
        <v>424806536.16000003</v>
      </c>
      <c r="E12" s="70">
        <f t="shared" si="2"/>
        <v>331136968</v>
      </c>
      <c r="F12" s="70">
        <f t="shared" si="2"/>
        <v>319333500</v>
      </c>
      <c r="G12" s="70">
        <f t="shared" si="2"/>
        <v>324462598</v>
      </c>
      <c r="H12" s="70">
        <f t="shared" si="2"/>
        <v>334963040</v>
      </c>
      <c r="I12" s="70">
        <f t="shared" si="2"/>
        <v>343655423</v>
      </c>
      <c r="J12" s="70">
        <f t="shared" si="2"/>
        <v>348888501</v>
      </c>
      <c r="K12" s="70">
        <f t="shared" si="2"/>
        <v>357427156</v>
      </c>
      <c r="L12" s="70">
        <f t="shared" si="2"/>
        <v>365207954</v>
      </c>
      <c r="M12" s="70">
        <f t="shared" si="2"/>
        <v>375140464</v>
      </c>
      <c r="N12" s="70">
        <f t="shared" si="2"/>
        <v>395423958</v>
      </c>
      <c r="O12" s="70">
        <f t="shared" si="2"/>
        <v>415707114</v>
      </c>
      <c r="P12" s="70">
        <f t="shared" si="2"/>
        <v>428272086</v>
      </c>
      <c r="Q12" s="70">
        <f t="shared" si="2"/>
        <v>441214007</v>
      </c>
      <c r="R12" s="70">
        <f t="shared" si="2"/>
        <v>454544185</v>
      </c>
      <c r="S12" s="70">
        <f t="shared" si="2"/>
        <v>468274269</v>
      </c>
      <c r="T12" s="70">
        <f t="shared" si="2"/>
        <v>482416254.63</v>
      </c>
      <c r="U12" s="70">
        <f t="shared" si="2"/>
        <v>500607780</v>
      </c>
      <c r="V12" s="70">
        <f t="shared" si="2"/>
        <v>0</v>
      </c>
      <c r="W12" s="70">
        <f t="shared" si="2"/>
        <v>0</v>
      </c>
      <c r="X12" s="70">
        <f t="shared" si="2"/>
        <v>0</v>
      </c>
      <c r="Y12" s="70">
        <f t="shared" si="2"/>
        <v>0</v>
      </c>
      <c r="Z12" s="70">
        <f t="shared" si="2"/>
        <v>0</v>
      </c>
      <c r="AA12" s="70">
        <f t="shared" si="2"/>
        <v>0</v>
      </c>
      <c r="AB12" s="70">
        <f t="shared" si="2"/>
        <v>0</v>
      </c>
      <c r="AC12" s="70">
        <f t="shared" si="2"/>
        <v>0</v>
      </c>
      <c r="AD12" s="70">
        <f t="shared" si="2"/>
        <v>0</v>
      </c>
      <c r="AE12" s="70">
        <f t="shared" ref="AE12:AO12" si="3">+AE13+AE20</f>
        <v>0</v>
      </c>
      <c r="AF12" s="70">
        <f t="shared" si="3"/>
        <v>0</v>
      </c>
      <c r="AG12" s="70">
        <f t="shared" si="3"/>
        <v>0</v>
      </c>
      <c r="AH12" s="70">
        <f t="shared" si="3"/>
        <v>0</v>
      </c>
      <c r="AI12" s="70">
        <f t="shared" si="3"/>
        <v>0</v>
      </c>
      <c r="AJ12" s="70">
        <f t="shared" si="3"/>
        <v>0</v>
      </c>
      <c r="AK12" s="70">
        <f t="shared" si="3"/>
        <v>0</v>
      </c>
      <c r="AL12" s="70">
        <f t="shared" si="3"/>
        <v>0</v>
      </c>
      <c r="AM12" s="70">
        <f t="shared" si="3"/>
        <v>0</v>
      </c>
      <c r="AN12" s="70">
        <f t="shared" si="3"/>
        <v>0</v>
      </c>
      <c r="AO12" s="70">
        <f t="shared" si="3"/>
        <v>0</v>
      </c>
    </row>
    <row r="13" spans="1:246" s="30" customFormat="1">
      <c r="A13" s="76"/>
      <c r="B13" s="72" t="s">
        <v>59</v>
      </c>
      <c r="C13" s="77">
        <f>+C14+C18</f>
        <v>282976359.82999998</v>
      </c>
      <c r="D13" s="77">
        <f t="shared" ref="D13:AD13" si="4">+D14+D18</f>
        <v>292260809.62</v>
      </c>
      <c r="E13" s="77">
        <f t="shared" si="4"/>
        <v>300922645</v>
      </c>
      <c r="F13" s="77">
        <f t="shared" si="4"/>
        <v>309571140</v>
      </c>
      <c r="G13" s="77">
        <f t="shared" si="4"/>
        <v>317694208</v>
      </c>
      <c r="H13" s="77">
        <f t="shared" si="4"/>
        <v>328366220</v>
      </c>
      <c r="I13" s="77">
        <f t="shared" si="4"/>
        <v>335169184</v>
      </c>
      <c r="J13" s="77">
        <f t="shared" si="4"/>
        <v>344268687</v>
      </c>
      <c r="K13" s="77">
        <f t="shared" si="4"/>
        <v>353533890</v>
      </c>
      <c r="L13" s="77">
        <f t="shared" si="4"/>
        <v>363072521</v>
      </c>
      <c r="M13" s="77">
        <f t="shared" si="4"/>
        <v>372775474</v>
      </c>
      <c r="N13" s="77">
        <f t="shared" si="4"/>
        <v>382818358</v>
      </c>
      <c r="O13" s="77">
        <f t="shared" si="4"/>
        <v>393592186</v>
      </c>
      <c r="P13" s="77">
        <f t="shared" si="4"/>
        <v>405378563</v>
      </c>
      <c r="Q13" s="77">
        <f t="shared" si="4"/>
        <v>417519075</v>
      </c>
      <c r="R13" s="77">
        <f t="shared" si="4"/>
        <v>430024345</v>
      </c>
      <c r="S13" s="77">
        <f t="shared" si="4"/>
        <v>442905318</v>
      </c>
      <c r="T13" s="77">
        <f t="shared" si="4"/>
        <v>456191390</v>
      </c>
      <c r="U13" s="77">
        <f t="shared" si="4"/>
        <v>469839791</v>
      </c>
      <c r="V13" s="77">
        <f t="shared" si="4"/>
        <v>0</v>
      </c>
      <c r="W13" s="77">
        <f t="shared" si="4"/>
        <v>0</v>
      </c>
      <c r="X13" s="77">
        <f t="shared" si="4"/>
        <v>0</v>
      </c>
      <c r="Y13" s="77">
        <f t="shared" si="4"/>
        <v>0</v>
      </c>
      <c r="Z13" s="77">
        <f t="shared" si="4"/>
        <v>0</v>
      </c>
      <c r="AA13" s="77">
        <f t="shared" si="4"/>
        <v>0</v>
      </c>
      <c r="AB13" s="77">
        <f t="shared" si="4"/>
        <v>0</v>
      </c>
      <c r="AC13" s="77">
        <f t="shared" si="4"/>
        <v>0</v>
      </c>
      <c r="AD13" s="77">
        <f t="shared" si="4"/>
        <v>0</v>
      </c>
      <c r="AE13" s="77">
        <f t="shared" ref="AE13:AO13" si="5">+AE14+AE18</f>
        <v>0</v>
      </c>
      <c r="AF13" s="77">
        <f t="shared" si="5"/>
        <v>0</v>
      </c>
      <c r="AG13" s="77">
        <f t="shared" si="5"/>
        <v>0</v>
      </c>
      <c r="AH13" s="77">
        <f t="shared" si="5"/>
        <v>0</v>
      </c>
      <c r="AI13" s="77">
        <f t="shared" si="5"/>
        <v>0</v>
      </c>
      <c r="AJ13" s="77">
        <f t="shared" si="5"/>
        <v>0</v>
      </c>
      <c r="AK13" s="77">
        <f t="shared" si="5"/>
        <v>0</v>
      </c>
      <c r="AL13" s="77">
        <f t="shared" si="5"/>
        <v>0</v>
      </c>
      <c r="AM13" s="77">
        <f t="shared" si="5"/>
        <v>0</v>
      </c>
      <c r="AN13" s="77">
        <f t="shared" si="5"/>
        <v>0</v>
      </c>
      <c r="AO13" s="77">
        <f t="shared" si="5"/>
        <v>0</v>
      </c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</row>
    <row r="14" spans="1:246">
      <c r="A14" s="76"/>
      <c r="B14" s="74" t="s">
        <v>90</v>
      </c>
      <c r="C14" s="77">
        <f>+Zal_1_WPF_wg_przeplywow!C13</f>
        <v>275981359.82999998</v>
      </c>
      <c r="D14" s="77">
        <f>+Zal_1_WPF_wg_przeplywow!D13</f>
        <v>284260800.62</v>
      </c>
      <c r="E14" s="77">
        <f>+Zal_1_WPF_wg_przeplywow!E13</f>
        <v>292788625</v>
      </c>
      <c r="F14" s="77">
        <f>+Zal_1_WPF_wg_przeplywow!F13</f>
        <v>301572283</v>
      </c>
      <c r="G14" s="77">
        <f>+Zal_1_WPF_wg_przeplywow!G13</f>
        <v>310619452</v>
      </c>
      <c r="H14" s="77">
        <f>+Zal_1_WPF_wg_przeplywow!H13</f>
        <v>319938035</v>
      </c>
      <c r="I14" s="77">
        <f>+Zal_1_WPF_wg_przeplywow!I13</f>
        <v>329536177</v>
      </c>
      <c r="J14" s="77">
        <f>+Zal_1_WPF_wg_przeplywow!J13</f>
        <v>339422262</v>
      </c>
      <c r="K14" s="77">
        <f>+Zal_1_WPF_wg_przeplywow!K13</f>
        <v>349604930</v>
      </c>
      <c r="L14" s="77">
        <f>+Zal_1_WPF_wg_przeplywow!L13</f>
        <v>360093078</v>
      </c>
      <c r="M14" s="77">
        <f>+Zal_1_WPF_wg_przeplywow!M13</f>
        <v>370895870</v>
      </c>
      <c r="N14" s="77">
        <f>+Zal_1_WPF_wg_przeplywow!N13</f>
        <v>382022746</v>
      </c>
      <c r="O14" s="77">
        <f>+Zal_1_WPF_wg_przeplywow!O13</f>
        <v>393483428</v>
      </c>
      <c r="P14" s="77">
        <f>+Zal_1_WPF_wg_przeplywow!P13</f>
        <v>405287931</v>
      </c>
      <c r="Q14" s="77">
        <f>+Zal_1_WPF_wg_przeplywow!Q13</f>
        <v>417446569</v>
      </c>
      <c r="R14" s="77">
        <f>+Zal_1_WPF_wg_przeplywow!R13</f>
        <v>429969966</v>
      </c>
      <c r="S14" s="77">
        <f>+Zal_1_WPF_wg_przeplywow!S13</f>
        <v>442869065</v>
      </c>
      <c r="T14" s="77">
        <f>+Zal_1_WPF_wg_przeplywow!T13</f>
        <v>456155137</v>
      </c>
      <c r="U14" s="77">
        <f>+Zal_1_WPF_wg_przeplywow!U13</f>
        <v>469839791</v>
      </c>
      <c r="V14" s="77">
        <f>+Zal_1_WPF_wg_przeplywow!V13</f>
        <v>0</v>
      </c>
      <c r="W14" s="77">
        <f>+Zal_1_WPF_wg_przeplywow!W13</f>
        <v>0</v>
      </c>
      <c r="X14" s="77">
        <f>+Zal_1_WPF_wg_przeplywow!X13</f>
        <v>0</v>
      </c>
      <c r="Y14" s="77">
        <f>+Zal_1_WPF_wg_przeplywow!Y13</f>
        <v>0</v>
      </c>
      <c r="Z14" s="77">
        <f>+Zal_1_WPF_wg_przeplywow!Z13</f>
        <v>0</v>
      </c>
      <c r="AA14" s="77">
        <f>+Zal_1_WPF_wg_przeplywow!AA13</f>
        <v>0</v>
      </c>
      <c r="AB14" s="77">
        <f>+Zal_1_WPF_wg_przeplywow!AB13</f>
        <v>0</v>
      </c>
      <c r="AC14" s="77">
        <f>+Zal_1_WPF_wg_przeplywow!AC13</f>
        <v>0</v>
      </c>
      <c r="AD14" s="77">
        <f>+Zal_1_WPF_wg_przeplywow!AD13</f>
        <v>0</v>
      </c>
      <c r="AE14" s="77">
        <f>+Zal_1_WPF_wg_przeplywow!AE13</f>
        <v>0</v>
      </c>
      <c r="AF14" s="77">
        <f>+Zal_1_WPF_wg_przeplywow!AF13</f>
        <v>0</v>
      </c>
      <c r="AG14" s="77">
        <f>+Zal_1_WPF_wg_przeplywow!AG13</f>
        <v>0</v>
      </c>
      <c r="AH14" s="77">
        <f>+Zal_1_WPF_wg_przeplywow!AH13</f>
        <v>0</v>
      </c>
      <c r="AI14" s="77">
        <f>+Zal_1_WPF_wg_przeplywow!AI13</f>
        <v>0</v>
      </c>
      <c r="AJ14" s="77">
        <f>+Zal_1_WPF_wg_przeplywow!AJ13</f>
        <v>0</v>
      </c>
      <c r="AK14" s="77">
        <f>+Zal_1_WPF_wg_przeplywow!AK13</f>
        <v>0</v>
      </c>
      <c r="AL14" s="77">
        <f>+Zal_1_WPF_wg_przeplywow!AL13</f>
        <v>0</v>
      </c>
      <c r="AM14" s="77">
        <f>+Zal_1_WPF_wg_przeplywow!AM13</f>
        <v>0</v>
      </c>
      <c r="AN14" s="77">
        <f>+Zal_1_WPF_wg_przeplywow!AN13</f>
        <v>0</v>
      </c>
      <c r="AO14" s="77">
        <f>+Zal_1_WPF_wg_przeplywow!AO13</f>
        <v>0</v>
      </c>
    </row>
    <row r="15" spans="1:246" ht="24">
      <c r="A15" s="71"/>
      <c r="B15" s="78" t="s">
        <v>154</v>
      </c>
      <c r="C15" s="77">
        <f>+Zal_1_WPF_wg_przeplywow!C19</f>
        <v>48738.35</v>
      </c>
      <c r="D15" s="77">
        <f>+Zal_1_WPF_wg_przeplywow!D19</f>
        <v>0</v>
      </c>
      <c r="E15" s="77">
        <f>+Zal_1_WPF_wg_przeplywow!E19</f>
        <v>0</v>
      </c>
      <c r="F15" s="77">
        <f>+Zal_1_WPF_wg_przeplywow!F19</f>
        <v>0</v>
      </c>
      <c r="G15" s="77">
        <f>+Zal_1_WPF_wg_przeplywow!G19</f>
        <v>0</v>
      </c>
      <c r="H15" s="77">
        <f>+Zal_1_WPF_wg_przeplywow!H19</f>
        <v>0</v>
      </c>
      <c r="I15" s="77">
        <f>+Zal_1_WPF_wg_przeplywow!I19</f>
        <v>0</v>
      </c>
      <c r="J15" s="77">
        <f>+Zal_1_WPF_wg_przeplywow!J19</f>
        <v>0</v>
      </c>
      <c r="K15" s="77">
        <f>+Zal_1_WPF_wg_przeplywow!K19</f>
        <v>0</v>
      </c>
      <c r="L15" s="77">
        <f>+Zal_1_WPF_wg_przeplywow!L19</f>
        <v>0</v>
      </c>
      <c r="M15" s="77">
        <f>+Zal_1_WPF_wg_przeplywow!M19</f>
        <v>0</v>
      </c>
      <c r="N15" s="77">
        <f>+Zal_1_WPF_wg_przeplywow!N19</f>
        <v>0</v>
      </c>
      <c r="O15" s="77">
        <f>+Zal_1_WPF_wg_przeplywow!O19</f>
        <v>0</v>
      </c>
      <c r="P15" s="77">
        <f>+Zal_1_WPF_wg_przeplywow!P19</f>
        <v>0</v>
      </c>
      <c r="Q15" s="77">
        <f>+Zal_1_WPF_wg_przeplywow!Q19</f>
        <v>0</v>
      </c>
      <c r="R15" s="77">
        <f>+Zal_1_WPF_wg_przeplywow!R19</f>
        <v>0</v>
      </c>
      <c r="S15" s="77">
        <f>+Zal_1_WPF_wg_przeplywow!S19</f>
        <v>0</v>
      </c>
      <c r="T15" s="77">
        <f>+Zal_1_WPF_wg_przeplywow!T19</f>
        <v>0</v>
      </c>
      <c r="U15" s="77">
        <f>+Zal_1_WPF_wg_przeplywow!U19</f>
        <v>0</v>
      </c>
      <c r="V15" s="77">
        <f>+Zal_1_WPF_wg_przeplywow!V19</f>
        <v>0</v>
      </c>
      <c r="W15" s="77">
        <f>+Zal_1_WPF_wg_przeplywow!W19</f>
        <v>0</v>
      </c>
      <c r="X15" s="77">
        <f>+Zal_1_WPF_wg_przeplywow!X19</f>
        <v>0</v>
      </c>
      <c r="Y15" s="77">
        <f>+Zal_1_WPF_wg_przeplywow!Y19</f>
        <v>0</v>
      </c>
      <c r="Z15" s="77">
        <f>+Zal_1_WPF_wg_przeplywow!Z19</f>
        <v>0</v>
      </c>
      <c r="AA15" s="77">
        <f>+Zal_1_WPF_wg_przeplywow!AA19</f>
        <v>0</v>
      </c>
      <c r="AB15" s="77">
        <f>+Zal_1_WPF_wg_przeplywow!AB19</f>
        <v>0</v>
      </c>
      <c r="AC15" s="77">
        <f>+Zal_1_WPF_wg_przeplywow!AC19</f>
        <v>0</v>
      </c>
      <c r="AD15" s="77">
        <f>+Zal_1_WPF_wg_przeplywow!AD19</f>
        <v>0</v>
      </c>
      <c r="AE15" s="77">
        <f>+Zal_1_WPF_wg_przeplywow!AE19</f>
        <v>0</v>
      </c>
      <c r="AF15" s="77">
        <f>+Zal_1_WPF_wg_przeplywow!AF19</f>
        <v>0</v>
      </c>
      <c r="AG15" s="77">
        <f>+Zal_1_WPF_wg_przeplywow!AG19</f>
        <v>0</v>
      </c>
      <c r="AH15" s="77">
        <f>+Zal_1_WPF_wg_przeplywow!AH19</f>
        <v>0</v>
      </c>
      <c r="AI15" s="77">
        <f>+Zal_1_WPF_wg_przeplywow!AI19</f>
        <v>0</v>
      </c>
      <c r="AJ15" s="77">
        <f>+Zal_1_WPF_wg_przeplywow!AJ19</f>
        <v>0</v>
      </c>
      <c r="AK15" s="77">
        <f>+Zal_1_WPF_wg_przeplywow!AK19</f>
        <v>0</v>
      </c>
      <c r="AL15" s="77">
        <f>+Zal_1_WPF_wg_przeplywow!AL19</f>
        <v>0</v>
      </c>
      <c r="AM15" s="77">
        <f>+Zal_1_WPF_wg_przeplywow!AM19</f>
        <v>0</v>
      </c>
      <c r="AN15" s="77">
        <f>+Zal_1_WPF_wg_przeplywow!AN19</f>
        <v>0</v>
      </c>
      <c r="AO15" s="77">
        <f>+Zal_1_WPF_wg_przeplywow!AO19</f>
        <v>0</v>
      </c>
    </row>
    <row r="16" spans="1:246">
      <c r="A16" s="71"/>
      <c r="B16" s="78" t="s">
        <v>164</v>
      </c>
      <c r="C16" s="73">
        <f>+Zal_1_WPF_wg_przeplywow!C16</f>
        <v>0</v>
      </c>
      <c r="D16" s="73">
        <f>+Zal_1_WPF_wg_przeplywow!D16</f>
        <v>0</v>
      </c>
      <c r="E16" s="73">
        <f>+Zal_1_WPF_wg_przeplywow!E16</f>
        <v>0</v>
      </c>
      <c r="F16" s="73">
        <f>+Zal_1_WPF_wg_przeplywow!F16</f>
        <v>0</v>
      </c>
      <c r="G16" s="73">
        <f>+Zal_1_WPF_wg_przeplywow!G16</f>
        <v>0</v>
      </c>
      <c r="H16" s="73">
        <f>+Zal_1_WPF_wg_przeplywow!H16</f>
        <v>0</v>
      </c>
      <c r="I16" s="73">
        <f>+Zal_1_WPF_wg_przeplywow!I16</f>
        <v>0</v>
      </c>
      <c r="J16" s="73">
        <f>+Zal_1_WPF_wg_przeplywow!J16</f>
        <v>0</v>
      </c>
      <c r="K16" s="73">
        <f>+Zal_1_WPF_wg_przeplywow!K16</f>
        <v>0</v>
      </c>
      <c r="L16" s="73">
        <f>+Zal_1_WPF_wg_przeplywow!L16</f>
        <v>0</v>
      </c>
      <c r="M16" s="73">
        <f>+Zal_1_WPF_wg_przeplywow!M16</f>
        <v>0</v>
      </c>
      <c r="N16" s="73">
        <f>+Zal_1_WPF_wg_przeplywow!N16</f>
        <v>0</v>
      </c>
      <c r="O16" s="73">
        <f>+Zal_1_WPF_wg_przeplywow!O16</f>
        <v>0</v>
      </c>
      <c r="P16" s="73">
        <f>+Zal_1_WPF_wg_przeplywow!P16</f>
        <v>0</v>
      </c>
      <c r="Q16" s="73">
        <f>+Zal_1_WPF_wg_przeplywow!Q16</f>
        <v>0</v>
      </c>
      <c r="R16" s="73">
        <f>+Zal_1_WPF_wg_przeplywow!R16</f>
        <v>0</v>
      </c>
      <c r="S16" s="73">
        <f>+Zal_1_WPF_wg_przeplywow!S16</f>
        <v>0</v>
      </c>
      <c r="T16" s="73">
        <f>+Zal_1_WPF_wg_przeplywow!T16</f>
        <v>0</v>
      </c>
      <c r="U16" s="73">
        <f>+Zal_1_WPF_wg_przeplywow!U16</f>
        <v>0</v>
      </c>
      <c r="V16" s="73">
        <f>+Zal_1_WPF_wg_przeplywow!V16</f>
        <v>0</v>
      </c>
      <c r="W16" s="73">
        <f>+Zal_1_WPF_wg_przeplywow!W16</f>
        <v>0</v>
      </c>
      <c r="X16" s="73">
        <f>+Zal_1_WPF_wg_przeplywow!X16</f>
        <v>0</v>
      </c>
      <c r="Y16" s="73">
        <f>+Zal_1_WPF_wg_przeplywow!Y16</f>
        <v>0</v>
      </c>
      <c r="Z16" s="73">
        <f>+Zal_1_WPF_wg_przeplywow!Z16</f>
        <v>0</v>
      </c>
      <c r="AA16" s="73">
        <f>+Zal_1_WPF_wg_przeplywow!AA16</f>
        <v>0</v>
      </c>
      <c r="AB16" s="73">
        <f>+Zal_1_WPF_wg_przeplywow!AB16</f>
        <v>0</v>
      </c>
      <c r="AC16" s="73">
        <f>+Zal_1_WPF_wg_przeplywow!AC16</f>
        <v>0</v>
      </c>
      <c r="AD16" s="73">
        <f>+Zal_1_WPF_wg_przeplywow!AD16</f>
        <v>0</v>
      </c>
      <c r="AE16" s="73">
        <f>+Zal_1_WPF_wg_przeplywow!AE16</f>
        <v>0</v>
      </c>
      <c r="AF16" s="73">
        <f>+Zal_1_WPF_wg_przeplywow!AF16</f>
        <v>0</v>
      </c>
      <c r="AG16" s="73">
        <f>+Zal_1_WPF_wg_przeplywow!AG16</f>
        <v>0</v>
      </c>
      <c r="AH16" s="73">
        <f>+Zal_1_WPF_wg_przeplywow!AH16</f>
        <v>0</v>
      </c>
      <c r="AI16" s="73">
        <f>+Zal_1_WPF_wg_przeplywow!AI16</f>
        <v>0</v>
      </c>
      <c r="AJ16" s="73">
        <f>+Zal_1_WPF_wg_przeplywow!AJ16</f>
        <v>0</v>
      </c>
      <c r="AK16" s="73">
        <f>+Zal_1_WPF_wg_przeplywow!AK16</f>
        <v>0</v>
      </c>
      <c r="AL16" s="73">
        <f>+Zal_1_WPF_wg_przeplywow!AL16</f>
        <v>0</v>
      </c>
      <c r="AM16" s="73">
        <f>+Zal_1_WPF_wg_przeplywow!AM16</f>
        <v>0</v>
      </c>
      <c r="AN16" s="73">
        <f>+Zal_1_WPF_wg_przeplywow!AN16</f>
        <v>0</v>
      </c>
      <c r="AO16" s="73">
        <f>+Zal_1_WPF_wg_przeplywow!AO16</f>
        <v>0</v>
      </c>
    </row>
    <row r="17" spans="1:41" ht="24">
      <c r="A17" s="71"/>
      <c r="B17" s="79" t="s">
        <v>165</v>
      </c>
      <c r="C17" s="73">
        <f>+Zal_1_WPF_wg_przeplywow!C17</f>
        <v>0</v>
      </c>
      <c r="D17" s="73">
        <f>+Zal_1_WPF_wg_przeplywow!D17</f>
        <v>0</v>
      </c>
      <c r="E17" s="73">
        <f>+Zal_1_WPF_wg_przeplywow!E17</f>
        <v>0</v>
      </c>
      <c r="F17" s="73">
        <f>+Zal_1_WPF_wg_przeplywow!F17</f>
        <v>0</v>
      </c>
      <c r="G17" s="73">
        <f>+Zal_1_WPF_wg_przeplywow!G17</f>
        <v>0</v>
      </c>
      <c r="H17" s="73">
        <f>+Zal_1_WPF_wg_przeplywow!H17</f>
        <v>0</v>
      </c>
      <c r="I17" s="73">
        <f>+Zal_1_WPF_wg_przeplywow!I17</f>
        <v>0</v>
      </c>
      <c r="J17" s="73">
        <f>+Zal_1_WPF_wg_przeplywow!J17</f>
        <v>0</v>
      </c>
      <c r="K17" s="73">
        <f>+Zal_1_WPF_wg_przeplywow!K17</f>
        <v>0</v>
      </c>
      <c r="L17" s="73">
        <f>+Zal_1_WPF_wg_przeplywow!L17</f>
        <v>0</v>
      </c>
      <c r="M17" s="73">
        <f>+Zal_1_WPF_wg_przeplywow!M17</f>
        <v>0</v>
      </c>
      <c r="N17" s="73">
        <f>+Zal_1_WPF_wg_przeplywow!N17</f>
        <v>0</v>
      </c>
      <c r="O17" s="73">
        <f>+Zal_1_WPF_wg_przeplywow!O17</f>
        <v>0</v>
      </c>
      <c r="P17" s="73">
        <f>+Zal_1_WPF_wg_przeplywow!P17</f>
        <v>0</v>
      </c>
      <c r="Q17" s="73">
        <f>+Zal_1_WPF_wg_przeplywow!Q17</f>
        <v>0</v>
      </c>
      <c r="R17" s="73">
        <f>+Zal_1_WPF_wg_przeplywow!R17</f>
        <v>0</v>
      </c>
      <c r="S17" s="73">
        <f>+Zal_1_WPF_wg_przeplywow!S17</f>
        <v>0</v>
      </c>
      <c r="T17" s="73">
        <f>+Zal_1_WPF_wg_przeplywow!T17</f>
        <v>0</v>
      </c>
      <c r="U17" s="73">
        <f>+Zal_1_WPF_wg_przeplywow!U17</f>
        <v>0</v>
      </c>
      <c r="V17" s="73">
        <f>+Zal_1_WPF_wg_przeplywow!V17</f>
        <v>0</v>
      </c>
      <c r="W17" s="73">
        <f>+Zal_1_WPF_wg_przeplywow!W17</f>
        <v>0</v>
      </c>
      <c r="X17" s="73">
        <f>+Zal_1_WPF_wg_przeplywow!X17</f>
        <v>0</v>
      </c>
      <c r="Y17" s="73">
        <f>+Zal_1_WPF_wg_przeplywow!Y17</f>
        <v>0</v>
      </c>
      <c r="Z17" s="73">
        <f>+Zal_1_WPF_wg_przeplywow!Z17</f>
        <v>0</v>
      </c>
      <c r="AA17" s="73">
        <f>+Zal_1_WPF_wg_przeplywow!AA17</f>
        <v>0</v>
      </c>
      <c r="AB17" s="73">
        <f>+Zal_1_WPF_wg_przeplywow!AB17</f>
        <v>0</v>
      </c>
      <c r="AC17" s="73">
        <f>+Zal_1_WPF_wg_przeplywow!AC17</f>
        <v>0</v>
      </c>
      <c r="AD17" s="73">
        <f>+Zal_1_WPF_wg_przeplywow!AD17</f>
        <v>0</v>
      </c>
      <c r="AE17" s="73">
        <f>+Zal_1_WPF_wg_przeplywow!AE17</f>
        <v>0</v>
      </c>
      <c r="AF17" s="73">
        <f>+Zal_1_WPF_wg_przeplywow!AF17</f>
        <v>0</v>
      </c>
      <c r="AG17" s="73">
        <f>+Zal_1_WPF_wg_przeplywow!AG17</f>
        <v>0</v>
      </c>
      <c r="AH17" s="73">
        <f>+Zal_1_WPF_wg_przeplywow!AH17</f>
        <v>0</v>
      </c>
      <c r="AI17" s="73">
        <f>+Zal_1_WPF_wg_przeplywow!AI17</f>
        <v>0</v>
      </c>
      <c r="AJ17" s="73">
        <f>+Zal_1_WPF_wg_przeplywow!AJ17</f>
        <v>0</v>
      </c>
      <c r="AK17" s="73">
        <f>+Zal_1_WPF_wg_przeplywow!AK17</f>
        <v>0</v>
      </c>
      <c r="AL17" s="73">
        <f>+Zal_1_WPF_wg_przeplywow!AL17</f>
        <v>0</v>
      </c>
      <c r="AM17" s="73">
        <f>+Zal_1_WPF_wg_przeplywow!AM17</f>
        <v>0</v>
      </c>
      <c r="AN17" s="73">
        <f>+Zal_1_WPF_wg_przeplywow!AN17</f>
        <v>0</v>
      </c>
      <c r="AO17" s="73">
        <f>+Zal_1_WPF_wg_przeplywow!AO17</f>
        <v>0</v>
      </c>
    </row>
    <row r="18" spans="1:41">
      <c r="A18" s="76"/>
      <c r="B18" s="78" t="s">
        <v>13</v>
      </c>
      <c r="C18" s="73">
        <f>+Zal_1_WPF_wg_przeplywow!C29</f>
        <v>6995000</v>
      </c>
      <c r="D18" s="73">
        <f>+Zal_1_WPF_wg_przeplywow!D29</f>
        <v>8000009</v>
      </c>
      <c r="E18" s="73">
        <f>+Zal_1_WPF_wg_przeplywow!E29</f>
        <v>8134020</v>
      </c>
      <c r="F18" s="73">
        <f>+Zal_1_WPF_wg_przeplywow!F29</f>
        <v>7998857</v>
      </c>
      <c r="G18" s="73">
        <f>+Zal_1_WPF_wg_przeplywow!G29</f>
        <v>7074756</v>
      </c>
      <c r="H18" s="73">
        <f>+Zal_1_WPF_wg_przeplywow!H29</f>
        <v>8428185</v>
      </c>
      <c r="I18" s="73">
        <f>+Zal_1_WPF_wg_przeplywow!I29</f>
        <v>5633007</v>
      </c>
      <c r="J18" s="73">
        <f>+Zal_1_WPF_wg_przeplywow!J29</f>
        <v>4846425</v>
      </c>
      <c r="K18" s="73">
        <f>+Zal_1_WPF_wg_przeplywow!K29</f>
        <v>3928960</v>
      </c>
      <c r="L18" s="73">
        <f>+Zal_1_WPF_wg_przeplywow!L29</f>
        <v>2979443</v>
      </c>
      <c r="M18" s="73">
        <f>+Zal_1_WPF_wg_przeplywow!M29</f>
        <v>1879604</v>
      </c>
      <c r="N18" s="73">
        <f>+Zal_1_WPF_wg_przeplywow!N29</f>
        <v>795612</v>
      </c>
      <c r="O18" s="73">
        <f>+Zal_1_WPF_wg_przeplywow!O29</f>
        <v>108758</v>
      </c>
      <c r="P18" s="73">
        <f>+Zal_1_WPF_wg_przeplywow!P29</f>
        <v>90632</v>
      </c>
      <c r="Q18" s="73">
        <f>+Zal_1_WPF_wg_przeplywow!Q29</f>
        <v>72506</v>
      </c>
      <c r="R18" s="73">
        <f>+Zal_1_WPF_wg_przeplywow!R29</f>
        <v>54379</v>
      </c>
      <c r="S18" s="73">
        <f>+Zal_1_WPF_wg_przeplywow!S29</f>
        <v>36253</v>
      </c>
      <c r="T18" s="73">
        <f>+Zal_1_WPF_wg_przeplywow!T29</f>
        <v>36253</v>
      </c>
      <c r="U18" s="73">
        <f>+Zal_1_WPF_wg_przeplywow!U29</f>
        <v>0</v>
      </c>
      <c r="V18" s="73">
        <f>+Zal_1_WPF_wg_przeplywow!V29</f>
        <v>0</v>
      </c>
      <c r="W18" s="73">
        <f>+Zal_1_WPF_wg_przeplywow!W29</f>
        <v>0</v>
      </c>
      <c r="X18" s="73">
        <f>+Zal_1_WPF_wg_przeplywow!X29</f>
        <v>0</v>
      </c>
      <c r="Y18" s="73">
        <f>+Zal_1_WPF_wg_przeplywow!Y29</f>
        <v>0</v>
      </c>
      <c r="Z18" s="73">
        <f>+Zal_1_WPF_wg_przeplywow!Z29</f>
        <v>0</v>
      </c>
      <c r="AA18" s="73">
        <f>+Zal_1_WPF_wg_przeplywow!AA29</f>
        <v>0</v>
      </c>
      <c r="AB18" s="73">
        <f>+Zal_1_WPF_wg_przeplywow!AB29</f>
        <v>0</v>
      </c>
      <c r="AC18" s="73">
        <f>+Zal_1_WPF_wg_przeplywow!AC29</f>
        <v>0</v>
      </c>
      <c r="AD18" s="73">
        <f>+Zal_1_WPF_wg_przeplywow!AD29</f>
        <v>0</v>
      </c>
      <c r="AE18" s="73">
        <f>+Zal_1_WPF_wg_przeplywow!AE29</f>
        <v>0</v>
      </c>
      <c r="AF18" s="73">
        <f>+Zal_1_WPF_wg_przeplywow!AF29</f>
        <v>0</v>
      </c>
      <c r="AG18" s="73">
        <f>+Zal_1_WPF_wg_przeplywow!AG29</f>
        <v>0</v>
      </c>
      <c r="AH18" s="73">
        <f>+Zal_1_WPF_wg_przeplywow!AH29</f>
        <v>0</v>
      </c>
      <c r="AI18" s="73">
        <f>+Zal_1_WPF_wg_przeplywow!AI29</f>
        <v>0</v>
      </c>
      <c r="AJ18" s="73">
        <f>+Zal_1_WPF_wg_przeplywow!AJ29</f>
        <v>0</v>
      </c>
      <c r="AK18" s="73">
        <f>+Zal_1_WPF_wg_przeplywow!AK29</f>
        <v>0</v>
      </c>
      <c r="AL18" s="73">
        <f>+Zal_1_WPF_wg_przeplywow!AL29</f>
        <v>0</v>
      </c>
      <c r="AM18" s="73">
        <f>+Zal_1_WPF_wg_przeplywow!AM29</f>
        <v>0</v>
      </c>
      <c r="AN18" s="73">
        <f>+Zal_1_WPF_wg_przeplywow!AN29</f>
        <v>0</v>
      </c>
      <c r="AO18" s="73">
        <f>+Zal_1_WPF_wg_przeplywow!AO29</f>
        <v>0</v>
      </c>
    </row>
    <row r="19" spans="1:41">
      <c r="A19" s="76"/>
      <c r="B19" s="79" t="s">
        <v>166</v>
      </c>
      <c r="C19" s="73">
        <f>+Zal_1_WPF_wg_przeplywow!C30</f>
        <v>6995000</v>
      </c>
      <c r="D19" s="73">
        <f>+Zal_1_WPF_wg_przeplywow!D30</f>
        <v>8000009</v>
      </c>
      <c r="E19" s="73">
        <f>+Zal_1_WPF_wg_przeplywow!E30</f>
        <v>8134020</v>
      </c>
      <c r="F19" s="73">
        <f>+Zal_1_WPF_wg_przeplywow!F30</f>
        <v>7998857</v>
      </c>
      <c r="G19" s="73">
        <f>+Zal_1_WPF_wg_przeplywow!G30</f>
        <v>7074756</v>
      </c>
      <c r="H19" s="73">
        <f>+Zal_1_WPF_wg_przeplywow!H30</f>
        <v>8428185</v>
      </c>
      <c r="I19" s="73">
        <f>+Zal_1_WPF_wg_przeplywow!I30</f>
        <v>5633007</v>
      </c>
      <c r="J19" s="73">
        <f>+Zal_1_WPF_wg_przeplywow!J30</f>
        <v>4846425</v>
      </c>
      <c r="K19" s="73">
        <f>+Zal_1_WPF_wg_przeplywow!K30</f>
        <v>3928960</v>
      </c>
      <c r="L19" s="73">
        <f>+Zal_1_WPF_wg_przeplywow!L30</f>
        <v>2979443</v>
      </c>
      <c r="M19" s="73">
        <f>+Zal_1_WPF_wg_przeplywow!M30</f>
        <v>1879604</v>
      </c>
      <c r="N19" s="73">
        <f>+Zal_1_WPF_wg_przeplywow!N30</f>
        <v>795612</v>
      </c>
      <c r="O19" s="73">
        <f>+Zal_1_WPF_wg_przeplywow!O30</f>
        <v>108758</v>
      </c>
      <c r="P19" s="73">
        <f>+Zal_1_WPF_wg_przeplywow!P30</f>
        <v>90632</v>
      </c>
      <c r="Q19" s="73">
        <f>+Zal_1_WPF_wg_przeplywow!Q30</f>
        <v>72506</v>
      </c>
      <c r="R19" s="73">
        <f>+Zal_1_WPF_wg_przeplywow!R30</f>
        <v>54379</v>
      </c>
      <c r="S19" s="73">
        <f>+Zal_1_WPF_wg_przeplywow!S30</f>
        <v>36253</v>
      </c>
      <c r="T19" s="73">
        <f>+Zal_1_WPF_wg_przeplywow!T30</f>
        <v>36253</v>
      </c>
      <c r="U19" s="73">
        <f>+Zal_1_WPF_wg_przeplywow!U30</f>
        <v>0</v>
      </c>
      <c r="V19" s="73">
        <f>+Zal_1_WPF_wg_przeplywow!V30</f>
        <v>0</v>
      </c>
      <c r="W19" s="73">
        <f>+Zal_1_WPF_wg_przeplywow!W30</f>
        <v>0</v>
      </c>
      <c r="X19" s="73">
        <f>+Zal_1_WPF_wg_przeplywow!X30</f>
        <v>0</v>
      </c>
      <c r="Y19" s="73">
        <f>+Zal_1_WPF_wg_przeplywow!Y30</f>
        <v>0</v>
      </c>
      <c r="Z19" s="73">
        <f>+Zal_1_WPF_wg_przeplywow!Z30</f>
        <v>0</v>
      </c>
      <c r="AA19" s="73">
        <f>+Zal_1_WPF_wg_przeplywow!AA30</f>
        <v>0</v>
      </c>
      <c r="AB19" s="73">
        <f>+Zal_1_WPF_wg_przeplywow!AB30</f>
        <v>0</v>
      </c>
      <c r="AC19" s="73">
        <f>+Zal_1_WPF_wg_przeplywow!AC30</f>
        <v>0</v>
      </c>
      <c r="AD19" s="73">
        <f>+Zal_1_WPF_wg_przeplywow!AD30</f>
        <v>0</v>
      </c>
      <c r="AE19" s="73">
        <f>+Zal_1_WPF_wg_przeplywow!AE30</f>
        <v>0</v>
      </c>
      <c r="AF19" s="73">
        <f>+Zal_1_WPF_wg_przeplywow!AF30</f>
        <v>0</v>
      </c>
      <c r="AG19" s="73">
        <f>+Zal_1_WPF_wg_przeplywow!AG30</f>
        <v>0</v>
      </c>
      <c r="AH19" s="73">
        <f>+Zal_1_WPF_wg_przeplywow!AH30</f>
        <v>0</v>
      </c>
      <c r="AI19" s="73">
        <f>+Zal_1_WPF_wg_przeplywow!AI30</f>
        <v>0</v>
      </c>
      <c r="AJ19" s="73">
        <f>+Zal_1_WPF_wg_przeplywow!AJ30</f>
        <v>0</v>
      </c>
      <c r="AK19" s="73">
        <f>+Zal_1_WPF_wg_przeplywow!AK30</f>
        <v>0</v>
      </c>
      <c r="AL19" s="73">
        <f>+Zal_1_WPF_wg_przeplywow!AL30</f>
        <v>0</v>
      </c>
      <c r="AM19" s="73">
        <f>+Zal_1_WPF_wg_przeplywow!AM30</f>
        <v>0</v>
      </c>
      <c r="AN19" s="73">
        <f>+Zal_1_WPF_wg_przeplywow!AN30</f>
        <v>0</v>
      </c>
      <c r="AO19" s="73">
        <f>+Zal_1_WPF_wg_przeplywow!AO30</f>
        <v>0</v>
      </c>
    </row>
    <row r="20" spans="1:41">
      <c r="A20" s="76"/>
      <c r="B20" s="72" t="s">
        <v>47</v>
      </c>
      <c r="C20" s="77">
        <f>+Zal_1_WPF_wg_przeplywow!C33</f>
        <v>177416177.41</v>
      </c>
      <c r="D20" s="77">
        <f>+Zal_1_WPF_wg_przeplywow!D33</f>
        <v>132545726.54000001</v>
      </c>
      <c r="E20" s="77">
        <f>+Zal_1_WPF_wg_przeplywow!E33</f>
        <v>30214323</v>
      </c>
      <c r="F20" s="77">
        <f>+Zal_1_WPF_wg_przeplywow!F33</f>
        <v>9762360</v>
      </c>
      <c r="G20" s="77">
        <f>+Zal_1_WPF_wg_przeplywow!G33</f>
        <v>6768390</v>
      </c>
      <c r="H20" s="77">
        <f>+Zal_1_WPF_wg_przeplywow!H33</f>
        <v>6596820</v>
      </c>
      <c r="I20" s="77">
        <f>+Zal_1_WPF_wg_przeplywow!I33</f>
        <v>8486239</v>
      </c>
      <c r="J20" s="77">
        <f>+Zal_1_WPF_wg_przeplywow!J33</f>
        <v>4619814</v>
      </c>
      <c r="K20" s="77">
        <f>+Zal_1_WPF_wg_przeplywow!K33</f>
        <v>3893266</v>
      </c>
      <c r="L20" s="77">
        <f>+Zal_1_WPF_wg_przeplywow!L33</f>
        <v>2135433</v>
      </c>
      <c r="M20" s="77">
        <f>+Zal_1_WPF_wg_przeplywow!M33</f>
        <v>2364990</v>
      </c>
      <c r="N20" s="77">
        <f>+Zal_1_WPF_wg_przeplywow!N33</f>
        <v>12605600</v>
      </c>
      <c r="O20" s="77">
        <f>+Zal_1_WPF_wg_przeplywow!O33</f>
        <v>22114928</v>
      </c>
      <c r="P20" s="77">
        <f>+Zal_1_WPF_wg_przeplywow!P33</f>
        <v>22893523</v>
      </c>
      <c r="Q20" s="77">
        <f>+Zal_1_WPF_wg_przeplywow!Q33</f>
        <v>23694932</v>
      </c>
      <c r="R20" s="77">
        <f>+Zal_1_WPF_wg_przeplywow!R33</f>
        <v>24519840</v>
      </c>
      <c r="S20" s="77">
        <f>+Zal_1_WPF_wg_przeplywow!S33</f>
        <v>25368951</v>
      </c>
      <c r="T20" s="77">
        <f>+Zal_1_WPF_wg_przeplywow!T33</f>
        <v>26224864.629999999</v>
      </c>
      <c r="U20" s="77">
        <f>+Zal_1_WPF_wg_przeplywow!U33</f>
        <v>30767989</v>
      </c>
      <c r="V20" s="77">
        <f>+Zal_1_WPF_wg_przeplywow!V33</f>
        <v>0</v>
      </c>
      <c r="W20" s="77">
        <f>+Zal_1_WPF_wg_przeplywow!W33</f>
        <v>0</v>
      </c>
      <c r="X20" s="77">
        <f>+Zal_1_WPF_wg_przeplywow!X33</f>
        <v>0</v>
      </c>
      <c r="Y20" s="77">
        <f>+Zal_1_WPF_wg_przeplywow!Y33</f>
        <v>0</v>
      </c>
      <c r="Z20" s="77">
        <f>+Zal_1_WPF_wg_przeplywow!Z33</f>
        <v>0</v>
      </c>
      <c r="AA20" s="77">
        <f>+Zal_1_WPF_wg_przeplywow!AA33</f>
        <v>0</v>
      </c>
      <c r="AB20" s="77">
        <f>+Zal_1_WPF_wg_przeplywow!AB33</f>
        <v>0</v>
      </c>
      <c r="AC20" s="77">
        <f>+Zal_1_WPF_wg_przeplywow!AC33</f>
        <v>0</v>
      </c>
      <c r="AD20" s="77">
        <f>+Zal_1_WPF_wg_przeplywow!AD33</f>
        <v>0</v>
      </c>
      <c r="AE20" s="77">
        <f>+Zal_1_WPF_wg_przeplywow!AE33</f>
        <v>0</v>
      </c>
      <c r="AF20" s="77">
        <f>+Zal_1_WPF_wg_przeplywow!AF33</f>
        <v>0</v>
      </c>
      <c r="AG20" s="77">
        <f>+Zal_1_WPF_wg_przeplywow!AG33</f>
        <v>0</v>
      </c>
      <c r="AH20" s="77">
        <f>+Zal_1_WPF_wg_przeplywow!AH33</f>
        <v>0</v>
      </c>
      <c r="AI20" s="77">
        <f>+Zal_1_WPF_wg_przeplywow!AI33</f>
        <v>0</v>
      </c>
      <c r="AJ20" s="77">
        <f>+Zal_1_WPF_wg_przeplywow!AJ33</f>
        <v>0</v>
      </c>
      <c r="AK20" s="77">
        <f>+Zal_1_WPF_wg_przeplywow!AK33</f>
        <v>0</v>
      </c>
      <c r="AL20" s="77">
        <f>+Zal_1_WPF_wg_przeplywow!AL33</f>
        <v>0</v>
      </c>
      <c r="AM20" s="77">
        <f>+Zal_1_WPF_wg_przeplywow!AM33</f>
        <v>0</v>
      </c>
      <c r="AN20" s="77">
        <f>+Zal_1_WPF_wg_przeplywow!AN33</f>
        <v>0</v>
      </c>
      <c r="AO20" s="77">
        <f>+Zal_1_WPF_wg_przeplywow!AO33</f>
        <v>0</v>
      </c>
    </row>
    <row r="21" spans="1:41" ht="24">
      <c r="A21" s="89"/>
      <c r="B21" s="88" t="s">
        <v>89</v>
      </c>
      <c r="C21" s="90">
        <f>+Zal_1_WPF_wg_przeplywow!C35</f>
        <v>147433138.58000001</v>
      </c>
      <c r="D21" s="90">
        <f>+Zal_1_WPF_wg_przeplywow!D35</f>
        <v>104352345.43000001</v>
      </c>
      <c r="E21" s="90">
        <f>+Zal_1_WPF_wg_przeplywow!E35</f>
        <v>10239163.01</v>
      </c>
      <c r="F21" s="90">
        <f>+Zal_1_WPF_wg_przeplywow!F35</f>
        <v>331361.78000000003</v>
      </c>
      <c r="G21" s="90">
        <f>+Zal_1_WPF_wg_przeplywow!G35</f>
        <v>0</v>
      </c>
      <c r="H21" s="90">
        <f>+Zal_1_WPF_wg_przeplywow!H35</f>
        <v>0</v>
      </c>
      <c r="I21" s="90">
        <f>+Zal_1_WPF_wg_przeplywow!I35</f>
        <v>0</v>
      </c>
      <c r="J21" s="90">
        <f>+Zal_1_WPF_wg_przeplywow!J35</f>
        <v>0</v>
      </c>
      <c r="K21" s="90">
        <f>+Zal_1_WPF_wg_przeplywow!K35</f>
        <v>0</v>
      </c>
      <c r="L21" s="90">
        <f>+Zal_1_WPF_wg_przeplywow!L35</f>
        <v>0</v>
      </c>
      <c r="M21" s="90">
        <f>+Zal_1_WPF_wg_przeplywow!M35</f>
        <v>0</v>
      </c>
      <c r="N21" s="90">
        <f>+Zal_1_WPF_wg_przeplywow!N35</f>
        <v>0</v>
      </c>
      <c r="O21" s="90">
        <f>+Zal_1_WPF_wg_przeplywow!O35</f>
        <v>0</v>
      </c>
      <c r="P21" s="90">
        <f>+Zal_1_WPF_wg_przeplywow!P35</f>
        <v>0</v>
      </c>
      <c r="Q21" s="90">
        <f>+Zal_1_WPF_wg_przeplywow!Q35</f>
        <v>0</v>
      </c>
      <c r="R21" s="90">
        <f>+Zal_1_WPF_wg_przeplywow!R35</f>
        <v>0</v>
      </c>
      <c r="S21" s="90">
        <f>+Zal_1_WPF_wg_przeplywow!S35</f>
        <v>0</v>
      </c>
      <c r="T21" s="90">
        <f>+Zal_1_WPF_wg_przeplywow!T35</f>
        <v>0</v>
      </c>
      <c r="U21" s="90">
        <f>+Zal_1_WPF_wg_przeplywow!U35</f>
        <v>0</v>
      </c>
      <c r="V21" s="90">
        <f>+Zal_1_WPF_wg_przeplywow!V35</f>
        <v>0</v>
      </c>
      <c r="W21" s="90">
        <f>+Zal_1_WPF_wg_przeplywow!W35</f>
        <v>0</v>
      </c>
      <c r="X21" s="90">
        <f>+Zal_1_WPF_wg_przeplywow!X35</f>
        <v>0</v>
      </c>
      <c r="Y21" s="90">
        <f>+Zal_1_WPF_wg_przeplywow!Y35</f>
        <v>0</v>
      </c>
      <c r="Z21" s="90">
        <f>+Zal_1_WPF_wg_przeplywow!Z35</f>
        <v>0</v>
      </c>
      <c r="AA21" s="90">
        <f>+Zal_1_WPF_wg_przeplywow!AA35</f>
        <v>0</v>
      </c>
      <c r="AB21" s="90">
        <f>+Zal_1_WPF_wg_przeplywow!AB35</f>
        <v>0</v>
      </c>
      <c r="AC21" s="90">
        <f>+Zal_1_WPF_wg_przeplywow!AC35</f>
        <v>0</v>
      </c>
      <c r="AD21" s="90">
        <f>+Zal_1_WPF_wg_przeplywow!AD35</f>
        <v>0</v>
      </c>
      <c r="AE21" s="90">
        <f>+Zal_1_WPF_wg_przeplywow!AE35</f>
        <v>0</v>
      </c>
      <c r="AF21" s="90">
        <f>+Zal_1_WPF_wg_przeplywow!AF35</f>
        <v>0</v>
      </c>
      <c r="AG21" s="90">
        <f>+Zal_1_WPF_wg_przeplywow!AG35</f>
        <v>0</v>
      </c>
      <c r="AH21" s="90">
        <f>+Zal_1_WPF_wg_przeplywow!AH35</f>
        <v>0</v>
      </c>
      <c r="AI21" s="90">
        <f>+Zal_1_WPF_wg_przeplywow!AI35</f>
        <v>0</v>
      </c>
      <c r="AJ21" s="90">
        <f>+Zal_1_WPF_wg_przeplywow!AJ35</f>
        <v>0</v>
      </c>
      <c r="AK21" s="90">
        <f>+Zal_1_WPF_wg_przeplywow!AK35</f>
        <v>0</v>
      </c>
      <c r="AL21" s="90">
        <f>+Zal_1_WPF_wg_przeplywow!AL35</f>
        <v>0</v>
      </c>
      <c r="AM21" s="90">
        <f>+Zal_1_WPF_wg_przeplywow!AM35</f>
        <v>0</v>
      </c>
      <c r="AN21" s="90">
        <f>+Zal_1_WPF_wg_przeplywow!AN35</f>
        <v>0</v>
      </c>
      <c r="AO21" s="90">
        <f>+Zal_1_WPF_wg_przeplywow!AO35</f>
        <v>0</v>
      </c>
    </row>
    <row r="22" spans="1:41">
      <c r="A22" s="62" t="s">
        <v>7</v>
      </c>
      <c r="B22" s="63" t="s">
        <v>48</v>
      </c>
      <c r="C22" s="58">
        <f>+C6-C12</f>
        <v>-56006977.269999981</v>
      </c>
      <c r="D22" s="58">
        <f t="shared" ref="D22:AD22" si="6">+D6-D12</f>
        <v>-29333786.189999998</v>
      </c>
      <c r="E22" s="58">
        <f t="shared" si="6"/>
        <v>-6593545</v>
      </c>
      <c r="F22" s="58">
        <f t="shared" si="6"/>
        <v>20744409</v>
      </c>
      <c r="G22" s="58">
        <f t="shared" si="6"/>
        <v>17467560</v>
      </c>
      <c r="H22" s="58">
        <f t="shared" si="6"/>
        <v>15586023</v>
      </c>
      <c r="I22" s="58">
        <f t="shared" si="6"/>
        <v>17110112</v>
      </c>
      <c r="J22" s="58">
        <f t="shared" si="6"/>
        <v>19400000</v>
      </c>
      <c r="K22" s="58">
        <f t="shared" si="6"/>
        <v>20700000</v>
      </c>
      <c r="L22" s="58">
        <f t="shared" si="6"/>
        <v>22083017</v>
      </c>
      <c r="M22" s="58">
        <f t="shared" si="6"/>
        <v>22649236</v>
      </c>
      <c r="N22" s="58">
        <f t="shared" si="6"/>
        <v>14709433</v>
      </c>
      <c r="O22" s="58">
        <f t="shared" si="6"/>
        <v>3625279</v>
      </c>
      <c r="P22" s="58">
        <f t="shared" si="6"/>
        <v>3625279</v>
      </c>
      <c r="Q22" s="58">
        <f t="shared" si="6"/>
        <v>3625279</v>
      </c>
      <c r="R22" s="58">
        <f t="shared" si="6"/>
        <v>3625279</v>
      </c>
      <c r="S22" s="58">
        <f t="shared" si="6"/>
        <v>3625279</v>
      </c>
      <c r="T22" s="58">
        <f t="shared" si="6"/>
        <v>3625279.3700000048</v>
      </c>
      <c r="U22" s="58">
        <f t="shared" si="6"/>
        <v>0</v>
      </c>
      <c r="V22" s="58">
        <f t="shared" si="6"/>
        <v>0</v>
      </c>
      <c r="W22" s="58">
        <f t="shared" si="6"/>
        <v>0</v>
      </c>
      <c r="X22" s="58">
        <f t="shared" si="6"/>
        <v>0</v>
      </c>
      <c r="Y22" s="58">
        <f t="shared" si="6"/>
        <v>0</v>
      </c>
      <c r="Z22" s="58">
        <f t="shared" si="6"/>
        <v>0</v>
      </c>
      <c r="AA22" s="58">
        <f t="shared" si="6"/>
        <v>0</v>
      </c>
      <c r="AB22" s="58">
        <f t="shared" si="6"/>
        <v>0</v>
      </c>
      <c r="AC22" s="58">
        <f t="shared" si="6"/>
        <v>0</v>
      </c>
      <c r="AD22" s="58">
        <f t="shared" si="6"/>
        <v>0</v>
      </c>
      <c r="AE22" s="58">
        <f t="shared" ref="AE22:AO22" si="7">+AE6-AE12</f>
        <v>0</v>
      </c>
      <c r="AF22" s="58">
        <f t="shared" si="7"/>
        <v>0</v>
      </c>
      <c r="AG22" s="58">
        <f t="shared" si="7"/>
        <v>0</v>
      </c>
      <c r="AH22" s="58">
        <f t="shared" si="7"/>
        <v>0</v>
      </c>
      <c r="AI22" s="58">
        <f t="shared" si="7"/>
        <v>0</v>
      </c>
      <c r="AJ22" s="58">
        <f t="shared" si="7"/>
        <v>0</v>
      </c>
      <c r="AK22" s="58">
        <f t="shared" si="7"/>
        <v>0</v>
      </c>
      <c r="AL22" s="58">
        <f t="shared" si="7"/>
        <v>0</v>
      </c>
      <c r="AM22" s="58">
        <f t="shared" si="7"/>
        <v>0</v>
      </c>
      <c r="AN22" s="58">
        <f t="shared" si="7"/>
        <v>0</v>
      </c>
      <c r="AO22" s="58">
        <f t="shared" si="7"/>
        <v>0</v>
      </c>
    </row>
    <row r="23" spans="1:41" s="44" customFormat="1">
      <c r="A23" s="64" t="s">
        <v>8</v>
      </c>
      <c r="B23" s="65" t="s">
        <v>49</v>
      </c>
      <c r="C23" s="58">
        <f>+C7-C13</f>
        <v>32806677.960000038</v>
      </c>
      <c r="D23" s="58">
        <f t="shared" ref="D23:AD23" si="8">+D7-D13</f>
        <v>31880678.350000024</v>
      </c>
      <c r="E23" s="58">
        <f t="shared" si="8"/>
        <v>17297682</v>
      </c>
      <c r="F23" s="58">
        <f t="shared" si="8"/>
        <v>11534035</v>
      </c>
      <c r="G23" s="58">
        <f t="shared" si="8"/>
        <v>12935950</v>
      </c>
      <c r="H23" s="58">
        <f t="shared" si="8"/>
        <v>12182843</v>
      </c>
      <c r="I23" s="58">
        <f t="shared" si="8"/>
        <v>15596351</v>
      </c>
      <c r="J23" s="58">
        <f t="shared" si="8"/>
        <v>17019814</v>
      </c>
      <c r="K23" s="58">
        <f t="shared" si="8"/>
        <v>18593266</v>
      </c>
      <c r="L23" s="58">
        <f t="shared" si="8"/>
        <v>20218450</v>
      </c>
      <c r="M23" s="58">
        <f t="shared" si="8"/>
        <v>22014226</v>
      </c>
      <c r="N23" s="58">
        <f t="shared" si="8"/>
        <v>23815033</v>
      </c>
      <c r="O23" s="58">
        <f t="shared" si="8"/>
        <v>25240207</v>
      </c>
      <c r="P23" s="58">
        <f t="shared" si="8"/>
        <v>26018802</v>
      </c>
      <c r="Q23" s="58">
        <f t="shared" si="8"/>
        <v>26820211</v>
      </c>
      <c r="R23" s="58">
        <f t="shared" si="8"/>
        <v>27645119</v>
      </c>
      <c r="S23" s="58">
        <f t="shared" si="8"/>
        <v>28494230</v>
      </c>
      <c r="T23" s="58">
        <f t="shared" si="8"/>
        <v>29350144</v>
      </c>
      <c r="U23" s="58">
        <f t="shared" si="8"/>
        <v>30267989</v>
      </c>
      <c r="V23" s="58">
        <f t="shared" si="8"/>
        <v>0</v>
      </c>
      <c r="W23" s="58">
        <f t="shared" si="8"/>
        <v>0</v>
      </c>
      <c r="X23" s="58">
        <f t="shared" si="8"/>
        <v>0</v>
      </c>
      <c r="Y23" s="58">
        <f t="shared" si="8"/>
        <v>0</v>
      </c>
      <c r="Z23" s="58">
        <f t="shared" si="8"/>
        <v>0</v>
      </c>
      <c r="AA23" s="58">
        <f t="shared" si="8"/>
        <v>0</v>
      </c>
      <c r="AB23" s="58">
        <f t="shared" si="8"/>
        <v>0</v>
      </c>
      <c r="AC23" s="58">
        <f t="shared" si="8"/>
        <v>0</v>
      </c>
      <c r="AD23" s="58">
        <f t="shared" si="8"/>
        <v>0</v>
      </c>
      <c r="AE23" s="58">
        <f t="shared" ref="AE23:AO23" si="9">+AE7-AE13</f>
        <v>0</v>
      </c>
      <c r="AF23" s="58">
        <f t="shared" si="9"/>
        <v>0</v>
      </c>
      <c r="AG23" s="58">
        <f t="shared" si="9"/>
        <v>0</v>
      </c>
      <c r="AH23" s="58">
        <f t="shared" si="9"/>
        <v>0</v>
      </c>
      <c r="AI23" s="58">
        <f t="shared" si="9"/>
        <v>0</v>
      </c>
      <c r="AJ23" s="58">
        <f t="shared" si="9"/>
        <v>0</v>
      </c>
      <c r="AK23" s="58">
        <f t="shared" si="9"/>
        <v>0</v>
      </c>
      <c r="AL23" s="58">
        <f t="shared" si="9"/>
        <v>0</v>
      </c>
      <c r="AM23" s="58">
        <f t="shared" si="9"/>
        <v>0</v>
      </c>
      <c r="AN23" s="58">
        <f t="shared" si="9"/>
        <v>0</v>
      </c>
      <c r="AO23" s="58">
        <f t="shared" si="9"/>
        <v>0</v>
      </c>
    </row>
    <row r="24" spans="1:41">
      <c r="A24" s="68" t="s">
        <v>9</v>
      </c>
      <c r="B24" s="69" t="s">
        <v>50</v>
      </c>
      <c r="C24" s="70">
        <f>+C25+C27+C29</f>
        <v>71153561.50999999</v>
      </c>
      <c r="D24" s="70">
        <f t="shared" ref="D24:AD24" si="10">+D25+D27+D29</f>
        <v>46371641.189999998</v>
      </c>
      <c r="E24" s="70">
        <f t="shared" si="10"/>
        <v>23493545</v>
      </c>
      <c r="F24" s="70">
        <f t="shared" si="10"/>
        <v>0</v>
      </c>
      <c r="G24" s="70">
        <f t="shared" si="10"/>
        <v>0</v>
      </c>
      <c r="H24" s="70">
        <f t="shared" si="10"/>
        <v>0</v>
      </c>
      <c r="I24" s="70">
        <f t="shared" si="10"/>
        <v>0</v>
      </c>
      <c r="J24" s="70">
        <f t="shared" si="10"/>
        <v>0</v>
      </c>
      <c r="K24" s="70">
        <f t="shared" si="10"/>
        <v>0</v>
      </c>
      <c r="L24" s="70">
        <f t="shared" si="10"/>
        <v>0</v>
      </c>
      <c r="M24" s="70">
        <f t="shared" si="10"/>
        <v>0</v>
      </c>
      <c r="N24" s="70">
        <f t="shared" si="10"/>
        <v>0</v>
      </c>
      <c r="O24" s="70">
        <f t="shared" si="10"/>
        <v>0</v>
      </c>
      <c r="P24" s="70">
        <f t="shared" si="10"/>
        <v>0</v>
      </c>
      <c r="Q24" s="70">
        <f t="shared" si="10"/>
        <v>0</v>
      </c>
      <c r="R24" s="70">
        <f t="shared" si="10"/>
        <v>0</v>
      </c>
      <c r="S24" s="70">
        <f t="shared" si="10"/>
        <v>0</v>
      </c>
      <c r="T24" s="70">
        <f t="shared" si="10"/>
        <v>0</v>
      </c>
      <c r="U24" s="70">
        <f t="shared" si="10"/>
        <v>0</v>
      </c>
      <c r="V24" s="70">
        <f t="shared" si="10"/>
        <v>0</v>
      </c>
      <c r="W24" s="70">
        <f t="shared" si="10"/>
        <v>0</v>
      </c>
      <c r="X24" s="70">
        <f t="shared" si="10"/>
        <v>0</v>
      </c>
      <c r="Y24" s="70">
        <f t="shared" si="10"/>
        <v>0</v>
      </c>
      <c r="Z24" s="70">
        <f t="shared" si="10"/>
        <v>0</v>
      </c>
      <c r="AA24" s="70">
        <f t="shared" si="10"/>
        <v>0</v>
      </c>
      <c r="AB24" s="70">
        <f t="shared" si="10"/>
        <v>0</v>
      </c>
      <c r="AC24" s="70">
        <f t="shared" si="10"/>
        <v>0</v>
      </c>
      <c r="AD24" s="70">
        <f t="shared" si="10"/>
        <v>0</v>
      </c>
      <c r="AE24" s="70">
        <f t="shared" ref="AE24:AO24" si="11">+AE25+AE27+AE29</f>
        <v>0</v>
      </c>
      <c r="AF24" s="70">
        <f t="shared" si="11"/>
        <v>0</v>
      </c>
      <c r="AG24" s="70">
        <f t="shared" si="11"/>
        <v>0</v>
      </c>
      <c r="AH24" s="70">
        <f t="shared" si="11"/>
        <v>0</v>
      </c>
      <c r="AI24" s="70">
        <f t="shared" si="11"/>
        <v>0</v>
      </c>
      <c r="AJ24" s="70">
        <f t="shared" si="11"/>
        <v>0</v>
      </c>
      <c r="AK24" s="70">
        <f t="shared" si="11"/>
        <v>0</v>
      </c>
      <c r="AL24" s="70">
        <f t="shared" si="11"/>
        <v>0</v>
      </c>
      <c r="AM24" s="70">
        <f t="shared" si="11"/>
        <v>0</v>
      </c>
      <c r="AN24" s="70">
        <f t="shared" si="11"/>
        <v>0</v>
      </c>
      <c r="AO24" s="70">
        <f t="shared" si="11"/>
        <v>0</v>
      </c>
    </row>
    <row r="25" spans="1:41" ht="36">
      <c r="A25" s="71"/>
      <c r="B25" s="72" t="s">
        <v>60</v>
      </c>
      <c r="C25" s="77">
        <f>+Zal_1_WPF_wg_przeplywow!C21</f>
        <v>25991557.719999999</v>
      </c>
      <c r="D25" s="77">
        <f>+Zal_1_WPF_wg_przeplywow!D21</f>
        <v>0</v>
      </c>
      <c r="E25" s="77">
        <f>+Zal_1_WPF_wg_przeplywow!E21</f>
        <v>0</v>
      </c>
      <c r="F25" s="77">
        <f>+Zal_1_WPF_wg_przeplywow!F21</f>
        <v>0</v>
      </c>
      <c r="G25" s="77">
        <f>+Zal_1_WPF_wg_przeplywow!G21</f>
        <v>0</v>
      </c>
      <c r="H25" s="77">
        <f>+Zal_1_WPF_wg_przeplywow!H21</f>
        <v>0</v>
      </c>
      <c r="I25" s="77">
        <f>+Zal_1_WPF_wg_przeplywow!I21</f>
        <v>0</v>
      </c>
      <c r="J25" s="77">
        <f>+Zal_1_WPF_wg_przeplywow!J21</f>
        <v>0</v>
      </c>
      <c r="K25" s="77">
        <f>+Zal_1_WPF_wg_przeplywow!K21</f>
        <v>0</v>
      </c>
      <c r="L25" s="77">
        <f>+Zal_1_WPF_wg_przeplywow!L21</f>
        <v>0</v>
      </c>
      <c r="M25" s="77">
        <f>+Zal_1_WPF_wg_przeplywow!M21</f>
        <v>0</v>
      </c>
      <c r="N25" s="77">
        <f>+Zal_1_WPF_wg_przeplywow!N21</f>
        <v>0</v>
      </c>
      <c r="O25" s="77">
        <f>+Zal_1_WPF_wg_przeplywow!O21</f>
        <v>0</v>
      </c>
      <c r="P25" s="77">
        <f>+Zal_1_WPF_wg_przeplywow!P21</f>
        <v>0</v>
      </c>
      <c r="Q25" s="77">
        <f>+Zal_1_WPF_wg_przeplywow!Q21</f>
        <v>0</v>
      </c>
      <c r="R25" s="77">
        <f>+Zal_1_WPF_wg_przeplywow!R21</f>
        <v>0</v>
      </c>
      <c r="S25" s="77">
        <f>+Zal_1_WPF_wg_przeplywow!S21</f>
        <v>0</v>
      </c>
      <c r="T25" s="77">
        <f>+Zal_1_WPF_wg_przeplywow!T21</f>
        <v>0</v>
      </c>
      <c r="U25" s="77">
        <f>+Zal_1_WPF_wg_przeplywow!U21</f>
        <v>0</v>
      </c>
      <c r="V25" s="77">
        <f>+Zal_1_WPF_wg_przeplywow!V21</f>
        <v>0</v>
      </c>
      <c r="W25" s="77">
        <f>+Zal_1_WPF_wg_przeplywow!W21</f>
        <v>0</v>
      </c>
      <c r="X25" s="77">
        <f>+Zal_1_WPF_wg_przeplywow!X21</f>
        <v>0</v>
      </c>
      <c r="Y25" s="77">
        <f>+Zal_1_WPF_wg_przeplywow!Y21</f>
        <v>0</v>
      </c>
      <c r="Z25" s="77">
        <f>+Zal_1_WPF_wg_przeplywow!Z21</f>
        <v>0</v>
      </c>
      <c r="AA25" s="77">
        <f>+Zal_1_WPF_wg_przeplywow!AA21</f>
        <v>0</v>
      </c>
      <c r="AB25" s="77">
        <f>+Zal_1_WPF_wg_przeplywow!AB21</f>
        <v>0</v>
      </c>
      <c r="AC25" s="77">
        <f>+Zal_1_WPF_wg_przeplywow!AC21</f>
        <v>0</v>
      </c>
      <c r="AD25" s="77">
        <f>+Zal_1_WPF_wg_przeplywow!AD21</f>
        <v>0</v>
      </c>
      <c r="AE25" s="77">
        <f>+Zal_1_WPF_wg_przeplywow!AE21</f>
        <v>0</v>
      </c>
      <c r="AF25" s="77">
        <f>+Zal_1_WPF_wg_przeplywow!AF21</f>
        <v>0</v>
      </c>
      <c r="AG25" s="77">
        <f>+Zal_1_WPF_wg_przeplywow!AG21</f>
        <v>0</v>
      </c>
      <c r="AH25" s="77">
        <f>+Zal_1_WPF_wg_przeplywow!AH21</f>
        <v>0</v>
      </c>
      <c r="AI25" s="77">
        <f>+Zal_1_WPF_wg_przeplywow!AI21</f>
        <v>0</v>
      </c>
      <c r="AJ25" s="77">
        <f>+Zal_1_WPF_wg_przeplywow!AJ21</f>
        <v>0</v>
      </c>
      <c r="AK25" s="77">
        <f>+Zal_1_WPF_wg_przeplywow!AK21</f>
        <v>0</v>
      </c>
      <c r="AL25" s="77">
        <f>+Zal_1_WPF_wg_przeplywow!AL21</f>
        <v>0</v>
      </c>
      <c r="AM25" s="77">
        <f>+Zal_1_WPF_wg_przeplywow!AM21</f>
        <v>0</v>
      </c>
      <c r="AN25" s="77">
        <f>+Zal_1_WPF_wg_przeplywow!AN21</f>
        <v>0</v>
      </c>
      <c r="AO25" s="77">
        <f>+Zal_1_WPF_wg_przeplywow!AO21</f>
        <v>0</v>
      </c>
    </row>
    <row r="26" spans="1:41">
      <c r="A26" s="71"/>
      <c r="B26" s="80" t="s">
        <v>61</v>
      </c>
      <c r="C26" s="73">
        <f>+Zal_1_WPF_wg_przeplywow!C22</f>
        <v>10844973.48</v>
      </c>
      <c r="D26" s="73">
        <f>+Zal_1_WPF_wg_przeplywow!D22</f>
        <v>0</v>
      </c>
      <c r="E26" s="73">
        <f>+Zal_1_WPF_wg_przeplywow!E22</f>
        <v>0</v>
      </c>
      <c r="F26" s="73">
        <f>+Zal_1_WPF_wg_przeplywow!F22</f>
        <v>0</v>
      </c>
      <c r="G26" s="73">
        <f>+Zal_1_WPF_wg_przeplywow!G22</f>
        <v>0</v>
      </c>
      <c r="H26" s="73">
        <f>+Zal_1_WPF_wg_przeplywow!H22</f>
        <v>0</v>
      </c>
      <c r="I26" s="73">
        <f>+Zal_1_WPF_wg_przeplywow!I22</f>
        <v>0</v>
      </c>
      <c r="J26" s="73">
        <f>+Zal_1_WPF_wg_przeplywow!J22</f>
        <v>0</v>
      </c>
      <c r="K26" s="73">
        <f>+Zal_1_WPF_wg_przeplywow!K22</f>
        <v>0</v>
      </c>
      <c r="L26" s="73">
        <f>+Zal_1_WPF_wg_przeplywow!L22</f>
        <v>0</v>
      </c>
      <c r="M26" s="73">
        <f>+Zal_1_WPF_wg_przeplywow!M22</f>
        <v>0</v>
      </c>
      <c r="N26" s="73">
        <f>+Zal_1_WPF_wg_przeplywow!N22</f>
        <v>0</v>
      </c>
      <c r="O26" s="73">
        <f>+Zal_1_WPF_wg_przeplywow!O22</f>
        <v>0</v>
      </c>
      <c r="P26" s="73">
        <f>+Zal_1_WPF_wg_przeplywow!P22</f>
        <v>0</v>
      </c>
      <c r="Q26" s="73">
        <f>+Zal_1_WPF_wg_przeplywow!Q22</f>
        <v>0</v>
      </c>
      <c r="R26" s="73">
        <f>+Zal_1_WPF_wg_przeplywow!R22</f>
        <v>0</v>
      </c>
      <c r="S26" s="73">
        <f>+Zal_1_WPF_wg_przeplywow!S22</f>
        <v>0</v>
      </c>
      <c r="T26" s="73">
        <f>+Zal_1_WPF_wg_przeplywow!T22</f>
        <v>0</v>
      </c>
      <c r="U26" s="73">
        <f>+Zal_1_WPF_wg_przeplywow!U22</f>
        <v>0</v>
      </c>
      <c r="V26" s="73">
        <f>+Zal_1_WPF_wg_przeplywow!V22</f>
        <v>0</v>
      </c>
      <c r="W26" s="73">
        <f>+Zal_1_WPF_wg_przeplywow!W22</f>
        <v>0</v>
      </c>
      <c r="X26" s="73">
        <f>+Zal_1_WPF_wg_przeplywow!X22</f>
        <v>0</v>
      </c>
      <c r="Y26" s="73">
        <f>+Zal_1_WPF_wg_przeplywow!Y22</f>
        <v>0</v>
      </c>
      <c r="Z26" s="73">
        <f>+Zal_1_WPF_wg_przeplywow!Z22</f>
        <v>0</v>
      </c>
      <c r="AA26" s="73">
        <f>+Zal_1_WPF_wg_przeplywow!AA22</f>
        <v>0</v>
      </c>
      <c r="AB26" s="73">
        <f>+Zal_1_WPF_wg_przeplywow!AB22</f>
        <v>0</v>
      </c>
      <c r="AC26" s="73">
        <f>+Zal_1_WPF_wg_przeplywow!AC22</f>
        <v>0</v>
      </c>
      <c r="AD26" s="73">
        <f>+Zal_1_WPF_wg_przeplywow!AD22</f>
        <v>0</v>
      </c>
      <c r="AE26" s="73">
        <f>+Zal_1_WPF_wg_przeplywow!AE22</f>
        <v>0</v>
      </c>
      <c r="AF26" s="73">
        <f>+Zal_1_WPF_wg_przeplywow!AF22</f>
        <v>0</v>
      </c>
      <c r="AG26" s="73">
        <f>+Zal_1_WPF_wg_przeplywow!AG22</f>
        <v>0</v>
      </c>
      <c r="AH26" s="73">
        <f>+Zal_1_WPF_wg_przeplywow!AH22</f>
        <v>0</v>
      </c>
      <c r="AI26" s="73">
        <f>+Zal_1_WPF_wg_przeplywow!AI22</f>
        <v>0</v>
      </c>
      <c r="AJ26" s="73">
        <f>+Zal_1_WPF_wg_przeplywow!AJ22</f>
        <v>0</v>
      </c>
      <c r="AK26" s="73">
        <f>+Zal_1_WPF_wg_przeplywow!AK22</f>
        <v>0</v>
      </c>
      <c r="AL26" s="73">
        <f>+Zal_1_WPF_wg_przeplywow!AL22</f>
        <v>0</v>
      </c>
      <c r="AM26" s="73">
        <f>+Zal_1_WPF_wg_przeplywow!AM22</f>
        <v>0</v>
      </c>
      <c r="AN26" s="73">
        <f>+Zal_1_WPF_wg_przeplywow!AN22</f>
        <v>0</v>
      </c>
      <c r="AO26" s="73">
        <f>+Zal_1_WPF_wg_przeplywow!AO22</f>
        <v>0</v>
      </c>
    </row>
    <row r="27" spans="1:41">
      <c r="A27" s="71"/>
      <c r="B27" s="72" t="s">
        <v>62</v>
      </c>
      <c r="C27" s="77">
        <f>+Zal_1_WPF_wg_przeplywow!C36</f>
        <v>45162003.789999999</v>
      </c>
      <c r="D27" s="77">
        <f>+Zal_1_WPF_wg_przeplywow!D36</f>
        <v>46371641.189999998</v>
      </c>
      <c r="E27" s="77">
        <f>+Zal_1_WPF_wg_przeplywow!E36</f>
        <v>23493545</v>
      </c>
      <c r="F27" s="77">
        <f>+Zal_1_WPF_wg_przeplywow!F36</f>
        <v>0</v>
      </c>
      <c r="G27" s="77">
        <f>+Zal_1_WPF_wg_przeplywow!G36</f>
        <v>0</v>
      </c>
      <c r="H27" s="77">
        <f>+Zal_1_WPF_wg_przeplywow!H36</f>
        <v>0</v>
      </c>
      <c r="I27" s="77">
        <f>+Zal_1_WPF_wg_przeplywow!I36</f>
        <v>0</v>
      </c>
      <c r="J27" s="77">
        <f>+Zal_1_WPF_wg_przeplywow!J36</f>
        <v>0</v>
      </c>
      <c r="K27" s="77">
        <f>+Zal_1_WPF_wg_przeplywow!K36</f>
        <v>0</v>
      </c>
      <c r="L27" s="77">
        <f>+Zal_1_WPF_wg_przeplywow!L36</f>
        <v>0</v>
      </c>
      <c r="M27" s="77">
        <f>+Zal_1_WPF_wg_przeplywow!M36</f>
        <v>0</v>
      </c>
      <c r="N27" s="77">
        <f>+Zal_1_WPF_wg_przeplywow!N36</f>
        <v>0</v>
      </c>
      <c r="O27" s="77">
        <f>+Zal_1_WPF_wg_przeplywow!O36</f>
        <v>0</v>
      </c>
      <c r="P27" s="77">
        <f>+Zal_1_WPF_wg_przeplywow!P36</f>
        <v>0</v>
      </c>
      <c r="Q27" s="77">
        <f>+Zal_1_WPF_wg_przeplywow!Q36</f>
        <v>0</v>
      </c>
      <c r="R27" s="77">
        <f>+Zal_1_WPF_wg_przeplywow!R36</f>
        <v>0</v>
      </c>
      <c r="S27" s="77">
        <f>+Zal_1_WPF_wg_przeplywow!S36</f>
        <v>0</v>
      </c>
      <c r="T27" s="77">
        <f>+Zal_1_WPF_wg_przeplywow!T36</f>
        <v>0</v>
      </c>
      <c r="U27" s="77">
        <f>+Zal_1_WPF_wg_przeplywow!U36</f>
        <v>0</v>
      </c>
      <c r="V27" s="77">
        <f>+Zal_1_WPF_wg_przeplywow!V36</f>
        <v>0</v>
      </c>
      <c r="W27" s="77">
        <f>+Zal_1_WPF_wg_przeplywow!W36</f>
        <v>0</v>
      </c>
      <c r="X27" s="77">
        <f>+Zal_1_WPF_wg_przeplywow!X36</f>
        <v>0</v>
      </c>
      <c r="Y27" s="77">
        <f>+Zal_1_WPF_wg_przeplywow!Y36</f>
        <v>0</v>
      </c>
      <c r="Z27" s="77">
        <f>+Zal_1_WPF_wg_przeplywow!Z36</f>
        <v>0</v>
      </c>
      <c r="AA27" s="77">
        <f>+Zal_1_WPF_wg_przeplywow!AA36</f>
        <v>0</v>
      </c>
      <c r="AB27" s="77">
        <f>+Zal_1_WPF_wg_przeplywow!AB36</f>
        <v>0</v>
      </c>
      <c r="AC27" s="77">
        <f>+Zal_1_WPF_wg_przeplywow!AC36</f>
        <v>0</v>
      </c>
      <c r="AD27" s="77">
        <f>+Zal_1_WPF_wg_przeplywow!AD36</f>
        <v>0</v>
      </c>
      <c r="AE27" s="77">
        <f>+Zal_1_WPF_wg_przeplywow!AE36</f>
        <v>0</v>
      </c>
      <c r="AF27" s="77">
        <f>+Zal_1_WPF_wg_przeplywow!AF36</f>
        <v>0</v>
      </c>
      <c r="AG27" s="77">
        <f>+Zal_1_WPF_wg_przeplywow!AG36</f>
        <v>0</v>
      </c>
      <c r="AH27" s="77">
        <f>+Zal_1_WPF_wg_przeplywow!AH36</f>
        <v>0</v>
      </c>
      <c r="AI27" s="77">
        <f>+Zal_1_WPF_wg_przeplywow!AI36</f>
        <v>0</v>
      </c>
      <c r="AJ27" s="77">
        <f>+Zal_1_WPF_wg_przeplywow!AJ36</f>
        <v>0</v>
      </c>
      <c r="AK27" s="77">
        <f>+Zal_1_WPF_wg_przeplywow!AK36</f>
        <v>0</v>
      </c>
      <c r="AL27" s="77">
        <f>+Zal_1_WPF_wg_przeplywow!AL36</f>
        <v>0</v>
      </c>
      <c r="AM27" s="77">
        <f>+Zal_1_WPF_wg_przeplywow!AM36</f>
        <v>0</v>
      </c>
      <c r="AN27" s="77">
        <f>+Zal_1_WPF_wg_przeplywow!AN36</f>
        <v>0</v>
      </c>
      <c r="AO27" s="77">
        <f>+Zal_1_WPF_wg_przeplywow!AO36</f>
        <v>0</v>
      </c>
    </row>
    <row r="28" spans="1:41">
      <c r="A28" s="71"/>
      <c r="B28" s="74" t="s">
        <v>63</v>
      </c>
      <c r="C28" s="77">
        <f>+Zal_1_WPF_wg_przeplywow!C37</f>
        <v>45162003.789999999</v>
      </c>
      <c r="D28" s="77">
        <f>+Zal_1_WPF_wg_przeplywow!D37</f>
        <v>29333786.190000001</v>
      </c>
      <c r="E28" s="77">
        <f>+Zal_1_WPF_wg_przeplywow!E37</f>
        <v>6593545</v>
      </c>
      <c r="F28" s="77">
        <f>+Zal_1_WPF_wg_przeplywow!F37</f>
        <v>0</v>
      </c>
      <c r="G28" s="77">
        <f>+Zal_1_WPF_wg_przeplywow!G37</f>
        <v>0</v>
      </c>
      <c r="H28" s="77">
        <f>+Zal_1_WPF_wg_przeplywow!H37</f>
        <v>0</v>
      </c>
      <c r="I28" s="77">
        <f>+Zal_1_WPF_wg_przeplywow!I37</f>
        <v>0</v>
      </c>
      <c r="J28" s="77">
        <f>+Zal_1_WPF_wg_przeplywow!J37</f>
        <v>0</v>
      </c>
      <c r="K28" s="77">
        <f>+Zal_1_WPF_wg_przeplywow!K37</f>
        <v>0</v>
      </c>
      <c r="L28" s="77">
        <f>+Zal_1_WPF_wg_przeplywow!L37</f>
        <v>0</v>
      </c>
      <c r="M28" s="77">
        <f>+Zal_1_WPF_wg_przeplywow!M37</f>
        <v>0</v>
      </c>
      <c r="N28" s="77">
        <f>+Zal_1_WPF_wg_przeplywow!N37</f>
        <v>0</v>
      </c>
      <c r="O28" s="77">
        <f>+Zal_1_WPF_wg_przeplywow!O37</f>
        <v>0</v>
      </c>
      <c r="P28" s="77">
        <f>+Zal_1_WPF_wg_przeplywow!P37</f>
        <v>0</v>
      </c>
      <c r="Q28" s="77">
        <f>+Zal_1_WPF_wg_przeplywow!Q37</f>
        <v>0</v>
      </c>
      <c r="R28" s="77">
        <f>+Zal_1_WPF_wg_przeplywow!R37</f>
        <v>0</v>
      </c>
      <c r="S28" s="77">
        <f>+Zal_1_WPF_wg_przeplywow!S37</f>
        <v>0</v>
      </c>
      <c r="T28" s="77">
        <f>+Zal_1_WPF_wg_przeplywow!T37</f>
        <v>0</v>
      </c>
      <c r="U28" s="77">
        <f>+Zal_1_WPF_wg_przeplywow!U37</f>
        <v>0</v>
      </c>
      <c r="V28" s="77">
        <f>+Zal_1_WPF_wg_przeplywow!V37</f>
        <v>0</v>
      </c>
      <c r="W28" s="77">
        <f>+Zal_1_WPF_wg_przeplywow!W37</f>
        <v>0</v>
      </c>
      <c r="X28" s="77">
        <f>+Zal_1_WPF_wg_przeplywow!X37</f>
        <v>0</v>
      </c>
      <c r="Y28" s="77">
        <f>+Zal_1_WPF_wg_przeplywow!Y37</f>
        <v>0</v>
      </c>
      <c r="Z28" s="77">
        <f>+Zal_1_WPF_wg_przeplywow!Z37</f>
        <v>0</v>
      </c>
      <c r="AA28" s="77">
        <f>+Zal_1_WPF_wg_przeplywow!AA37</f>
        <v>0</v>
      </c>
      <c r="AB28" s="77">
        <f>+Zal_1_WPF_wg_przeplywow!AB37</f>
        <v>0</v>
      </c>
      <c r="AC28" s="77">
        <f>+Zal_1_WPF_wg_przeplywow!AC37</f>
        <v>0</v>
      </c>
      <c r="AD28" s="77">
        <f>+Zal_1_WPF_wg_przeplywow!AD37</f>
        <v>0</v>
      </c>
      <c r="AE28" s="77">
        <f>+Zal_1_WPF_wg_przeplywow!AE37</f>
        <v>0</v>
      </c>
      <c r="AF28" s="77">
        <f>+Zal_1_WPF_wg_przeplywow!AF37</f>
        <v>0</v>
      </c>
      <c r="AG28" s="77">
        <f>+Zal_1_WPF_wg_przeplywow!AG37</f>
        <v>0</v>
      </c>
      <c r="AH28" s="77">
        <f>+Zal_1_WPF_wg_przeplywow!AH37</f>
        <v>0</v>
      </c>
      <c r="AI28" s="77">
        <f>+Zal_1_WPF_wg_przeplywow!AI37</f>
        <v>0</v>
      </c>
      <c r="AJ28" s="77">
        <f>+Zal_1_WPF_wg_przeplywow!AJ37</f>
        <v>0</v>
      </c>
      <c r="AK28" s="77">
        <f>+Zal_1_WPF_wg_przeplywow!AK37</f>
        <v>0</v>
      </c>
      <c r="AL28" s="77">
        <f>+Zal_1_WPF_wg_przeplywow!AL37</f>
        <v>0</v>
      </c>
      <c r="AM28" s="77">
        <f>+Zal_1_WPF_wg_przeplywow!AM37</f>
        <v>0</v>
      </c>
      <c r="AN28" s="77">
        <f>+Zal_1_WPF_wg_przeplywow!AN37</f>
        <v>0</v>
      </c>
      <c r="AO28" s="77">
        <f>+Zal_1_WPF_wg_przeplywow!AO37</f>
        <v>0</v>
      </c>
    </row>
    <row r="29" spans="1:41">
      <c r="A29" s="71"/>
      <c r="B29" s="72" t="s">
        <v>51</v>
      </c>
      <c r="C29" s="77">
        <f>+Zal_1_WPF_wg_przeplywow!C23</f>
        <v>0</v>
      </c>
      <c r="D29" s="77">
        <f>+Zal_1_WPF_wg_przeplywow!D23</f>
        <v>0</v>
      </c>
      <c r="E29" s="77">
        <f>+Zal_1_WPF_wg_przeplywow!E23</f>
        <v>0</v>
      </c>
      <c r="F29" s="77">
        <f>+Zal_1_WPF_wg_przeplywow!F23</f>
        <v>0</v>
      </c>
      <c r="G29" s="77">
        <f>+Zal_1_WPF_wg_przeplywow!G23</f>
        <v>0</v>
      </c>
      <c r="H29" s="77">
        <f>+Zal_1_WPF_wg_przeplywow!H23</f>
        <v>0</v>
      </c>
      <c r="I29" s="77">
        <f>+Zal_1_WPF_wg_przeplywow!I23</f>
        <v>0</v>
      </c>
      <c r="J29" s="77">
        <f>+Zal_1_WPF_wg_przeplywow!J23</f>
        <v>0</v>
      </c>
      <c r="K29" s="77">
        <f>+Zal_1_WPF_wg_przeplywow!K23</f>
        <v>0</v>
      </c>
      <c r="L29" s="77">
        <f>+Zal_1_WPF_wg_przeplywow!L23</f>
        <v>0</v>
      </c>
      <c r="M29" s="77">
        <f>+Zal_1_WPF_wg_przeplywow!M23</f>
        <v>0</v>
      </c>
      <c r="N29" s="77">
        <f>+Zal_1_WPF_wg_przeplywow!N23</f>
        <v>0</v>
      </c>
      <c r="O29" s="77">
        <f>+Zal_1_WPF_wg_przeplywow!O23</f>
        <v>0</v>
      </c>
      <c r="P29" s="77">
        <f>+Zal_1_WPF_wg_przeplywow!P23</f>
        <v>0</v>
      </c>
      <c r="Q29" s="77">
        <f>+Zal_1_WPF_wg_przeplywow!Q23</f>
        <v>0</v>
      </c>
      <c r="R29" s="77">
        <f>+Zal_1_WPF_wg_przeplywow!R23</f>
        <v>0</v>
      </c>
      <c r="S29" s="77">
        <f>+Zal_1_WPF_wg_przeplywow!S23</f>
        <v>0</v>
      </c>
      <c r="T29" s="77">
        <f>+Zal_1_WPF_wg_przeplywow!T23</f>
        <v>0</v>
      </c>
      <c r="U29" s="77">
        <f>+Zal_1_WPF_wg_przeplywow!U23</f>
        <v>0</v>
      </c>
      <c r="V29" s="77">
        <f>+Zal_1_WPF_wg_przeplywow!V23</f>
        <v>0</v>
      </c>
      <c r="W29" s="77">
        <f>+Zal_1_WPF_wg_przeplywow!W23</f>
        <v>0</v>
      </c>
      <c r="X29" s="77">
        <f>+Zal_1_WPF_wg_przeplywow!X23</f>
        <v>0</v>
      </c>
      <c r="Y29" s="77">
        <f>+Zal_1_WPF_wg_przeplywow!Y23</f>
        <v>0</v>
      </c>
      <c r="Z29" s="77">
        <f>+Zal_1_WPF_wg_przeplywow!Z23</f>
        <v>0</v>
      </c>
      <c r="AA29" s="77">
        <f>+Zal_1_WPF_wg_przeplywow!AA23</f>
        <v>0</v>
      </c>
      <c r="AB29" s="77">
        <f>+Zal_1_WPF_wg_przeplywow!AB23</f>
        <v>0</v>
      </c>
      <c r="AC29" s="77">
        <f>+Zal_1_WPF_wg_przeplywow!AC23</f>
        <v>0</v>
      </c>
      <c r="AD29" s="77">
        <f>+Zal_1_WPF_wg_przeplywow!AD23</f>
        <v>0</v>
      </c>
      <c r="AE29" s="77">
        <f>+Zal_1_WPF_wg_przeplywow!AE23</f>
        <v>0</v>
      </c>
      <c r="AF29" s="77">
        <f>+Zal_1_WPF_wg_przeplywow!AF23</f>
        <v>0</v>
      </c>
      <c r="AG29" s="77">
        <f>+Zal_1_WPF_wg_przeplywow!AG23</f>
        <v>0</v>
      </c>
      <c r="AH29" s="77">
        <f>+Zal_1_WPF_wg_przeplywow!AH23</f>
        <v>0</v>
      </c>
      <c r="AI29" s="77">
        <f>+Zal_1_WPF_wg_przeplywow!AI23</f>
        <v>0</v>
      </c>
      <c r="AJ29" s="77">
        <f>+Zal_1_WPF_wg_przeplywow!AJ23</f>
        <v>0</v>
      </c>
      <c r="AK29" s="77">
        <f>+Zal_1_WPF_wg_przeplywow!AK23</f>
        <v>0</v>
      </c>
      <c r="AL29" s="77">
        <f>+Zal_1_WPF_wg_przeplywow!AL23</f>
        <v>0</v>
      </c>
      <c r="AM29" s="77">
        <f>+Zal_1_WPF_wg_przeplywow!AM23</f>
        <v>0</v>
      </c>
      <c r="AN29" s="77">
        <f>+Zal_1_WPF_wg_przeplywow!AN23</f>
        <v>0</v>
      </c>
      <c r="AO29" s="77">
        <f>+Zal_1_WPF_wg_przeplywow!AO23</f>
        <v>0</v>
      </c>
    </row>
    <row r="30" spans="1:41">
      <c r="A30" s="85"/>
      <c r="B30" s="88" t="s">
        <v>63</v>
      </c>
      <c r="C30" s="90">
        <f>+Zal_1_WPF_wg_przeplywow!C24</f>
        <v>0</v>
      </c>
      <c r="D30" s="90">
        <f>+Zal_1_WPF_wg_przeplywow!D24</f>
        <v>0</v>
      </c>
      <c r="E30" s="90">
        <f>+Zal_1_WPF_wg_przeplywow!E24</f>
        <v>0</v>
      </c>
      <c r="F30" s="90">
        <f>+Zal_1_WPF_wg_przeplywow!F24</f>
        <v>0</v>
      </c>
      <c r="G30" s="90">
        <f>+Zal_1_WPF_wg_przeplywow!G24</f>
        <v>0</v>
      </c>
      <c r="H30" s="90">
        <f>+Zal_1_WPF_wg_przeplywow!H24</f>
        <v>0</v>
      </c>
      <c r="I30" s="90">
        <f>+Zal_1_WPF_wg_przeplywow!I24</f>
        <v>0</v>
      </c>
      <c r="J30" s="90">
        <f>+Zal_1_WPF_wg_przeplywow!J24</f>
        <v>0</v>
      </c>
      <c r="K30" s="90">
        <f>+Zal_1_WPF_wg_przeplywow!K24</f>
        <v>0</v>
      </c>
      <c r="L30" s="90">
        <f>+Zal_1_WPF_wg_przeplywow!L24</f>
        <v>0</v>
      </c>
      <c r="M30" s="90">
        <f>+Zal_1_WPF_wg_przeplywow!M24</f>
        <v>0</v>
      </c>
      <c r="N30" s="90">
        <f>+Zal_1_WPF_wg_przeplywow!N24</f>
        <v>0</v>
      </c>
      <c r="O30" s="90">
        <f>+Zal_1_WPF_wg_przeplywow!O24</f>
        <v>0</v>
      </c>
      <c r="P30" s="90">
        <f>+Zal_1_WPF_wg_przeplywow!P24</f>
        <v>0</v>
      </c>
      <c r="Q30" s="90">
        <f>+Zal_1_WPF_wg_przeplywow!Q24</f>
        <v>0</v>
      </c>
      <c r="R30" s="90">
        <f>+Zal_1_WPF_wg_przeplywow!R24</f>
        <v>0</v>
      </c>
      <c r="S30" s="90">
        <f>+Zal_1_WPF_wg_przeplywow!S24</f>
        <v>0</v>
      </c>
      <c r="T30" s="90">
        <f>+Zal_1_WPF_wg_przeplywow!T24</f>
        <v>0</v>
      </c>
      <c r="U30" s="90">
        <f>+Zal_1_WPF_wg_przeplywow!U24</f>
        <v>0</v>
      </c>
      <c r="V30" s="90">
        <f>+Zal_1_WPF_wg_przeplywow!V24</f>
        <v>0</v>
      </c>
      <c r="W30" s="90">
        <f>+Zal_1_WPF_wg_przeplywow!W24</f>
        <v>0</v>
      </c>
      <c r="X30" s="90">
        <f>+Zal_1_WPF_wg_przeplywow!X24</f>
        <v>0</v>
      </c>
      <c r="Y30" s="90">
        <f>+Zal_1_WPF_wg_przeplywow!Y24</f>
        <v>0</v>
      </c>
      <c r="Z30" s="90">
        <f>+Zal_1_WPF_wg_przeplywow!Z24</f>
        <v>0</v>
      </c>
      <c r="AA30" s="90">
        <f>+Zal_1_WPF_wg_przeplywow!AA24</f>
        <v>0</v>
      </c>
      <c r="AB30" s="90">
        <f>+Zal_1_WPF_wg_przeplywow!AB24</f>
        <v>0</v>
      </c>
      <c r="AC30" s="90">
        <f>+Zal_1_WPF_wg_przeplywow!AC24</f>
        <v>0</v>
      </c>
      <c r="AD30" s="90">
        <f>+Zal_1_WPF_wg_przeplywow!AD24</f>
        <v>0</v>
      </c>
      <c r="AE30" s="90">
        <f>+Zal_1_WPF_wg_przeplywow!AE24</f>
        <v>0</v>
      </c>
      <c r="AF30" s="90">
        <f>+Zal_1_WPF_wg_przeplywow!AF24</f>
        <v>0</v>
      </c>
      <c r="AG30" s="90">
        <f>+Zal_1_WPF_wg_przeplywow!AG24</f>
        <v>0</v>
      </c>
      <c r="AH30" s="90">
        <f>+Zal_1_WPF_wg_przeplywow!AH24</f>
        <v>0</v>
      </c>
      <c r="AI30" s="90">
        <f>+Zal_1_WPF_wg_przeplywow!AI24</f>
        <v>0</v>
      </c>
      <c r="AJ30" s="90">
        <f>+Zal_1_WPF_wg_przeplywow!AJ24</f>
        <v>0</v>
      </c>
      <c r="AK30" s="90">
        <f>+Zal_1_WPF_wg_przeplywow!AK24</f>
        <v>0</v>
      </c>
      <c r="AL30" s="90">
        <f>+Zal_1_WPF_wg_przeplywow!AL24</f>
        <v>0</v>
      </c>
      <c r="AM30" s="90">
        <f>+Zal_1_WPF_wg_przeplywow!AM24</f>
        <v>0</v>
      </c>
      <c r="AN30" s="90">
        <f>+Zal_1_WPF_wg_przeplywow!AN24</f>
        <v>0</v>
      </c>
      <c r="AO30" s="90">
        <f>+Zal_1_WPF_wg_przeplywow!AO24</f>
        <v>0</v>
      </c>
    </row>
    <row r="31" spans="1:41">
      <c r="A31" s="68" t="s">
        <v>10</v>
      </c>
      <c r="B31" s="69" t="s">
        <v>52</v>
      </c>
      <c r="C31" s="70">
        <f>+C32+C34</f>
        <v>15146584.24</v>
      </c>
      <c r="D31" s="70">
        <f t="shared" ref="D31:AD31" si="12">+D32+D34</f>
        <v>17037855</v>
      </c>
      <c r="E31" s="70">
        <f t="shared" si="12"/>
        <v>16900000</v>
      </c>
      <c r="F31" s="70">
        <f t="shared" si="12"/>
        <v>20744409</v>
      </c>
      <c r="G31" s="70">
        <f t="shared" si="12"/>
        <v>17467560</v>
      </c>
      <c r="H31" s="70">
        <f t="shared" si="12"/>
        <v>15586023</v>
      </c>
      <c r="I31" s="70">
        <f t="shared" si="12"/>
        <v>17110112</v>
      </c>
      <c r="J31" s="70">
        <f t="shared" si="12"/>
        <v>19400000</v>
      </c>
      <c r="K31" s="70">
        <f t="shared" si="12"/>
        <v>20700000</v>
      </c>
      <c r="L31" s="70">
        <f t="shared" si="12"/>
        <v>22083017</v>
      </c>
      <c r="M31" s="70">
        <f t="shared" si="12"/>
        <v>22649236</v>
      </c>
      <c r="N31" s="70">
        <f t="shared" si="12"/>
        <v>14709433</v>
      </c>
      <c r="O31" s="70">
        <f t="shared" si="12"/>
        <v>3625279</v>
      </c>
      <c r="P31" s="70">
        <f t="shared" si="12"/>
        <v>3625279</v>
      </c>
      <c r="Q31" s="70">
        <f t="shared" si="12"/>
        <v>3625279</v>
      </c>
      <c r="R31" s="70">
        <f t="shared" si="12"/>
        <v>3625279</v>
      </c>
      <c r="S31" s="70">
        <f t="shared" si="12"/>
        <v>3625279</v>
      </c>
      <c r="T31" s="70">
        <f t="shared" si="12"/>
        <v>3625279.37</v>
      </c>
      <c r="U31" s="70">
        <f t="shared" si="12"/>
        <v>0</v>
      </c>
      <c r="V31" s="70">
        <f t="shared" si="12"/>
        <v>0</v>
      </c>
      <c r="W31" s="70">
        <f t="shared" si="12"/>
        <v>0</v>
      </c>
      <c r="X31" s="70">
        <f t="shared" si="12"/>
        <v>0</v>
      </c>
      <c r="Y31" s="70">
        <f t="shared" si="12"/>
        <v>0</v>
      </c>
      <c r="Z31" s="70">
        <f t="shared" si="12"/>
        <v>0</v>
      </c>
      <c r="AA31" s="70">
        <f t="shared" si="12"/>
        <v>0</v>
      </c>
      <c r="AB31" s="70">
        <f t="shared" si="12"/>
        <v>0</v>
      </c>
      <c r="AC31" s="70">
        <f t="shared" si="12"/>
        <v>0</v>
      </c>
      <c r="AD31" s="70">
        <f t="shared" si="12"/>
        <v>0</v>
      </c>
      <c r="AE31" s="70">
        <f t="shared" ref="AE31:AO31" si="13">+AE32+AE34</f>
        <v>0</v>
      </c>
      <c r="AF31" s="70">
        <f t="shared" si="13"/>
        <v>0</v>
      </c>
      <c r="AG31" s="70">
        <f t="shared" si="13"/>
        <v>0</v>
      </c>
      <c r="AH31" s="70">
        <f t="shared" si="13"/>
        <v>0</v>
      </c>
      <c r="AI31" s="70">
        <f t="shared" si="13"/>
        <v>0</v>
      </c>
      <c r="AJ31" s="70">
        <f t="shared" si="13"/>
        <v>0</v>
      </c>
      <c r="AK31" s="70">
        <f t="shared" si="13"/>
        <v>0</v>
      </c>
      <c r="AL31" s="70">
        <f t="shared" si="13"/>
        <v>0</v>
      </c>
      <c r="AM31" s="70">
        <f t="shared" si="13"/>
        <v>0</v>
      </c>
      <c r="AN31" s="70">
        <f t="shared" si="13"/>
        <v>0</v>
      </c>
      <c r="AO31" s="70">
        <f t="shared" si="13"/>
        <v>0</v>
      </c>
    </row>
    <row r="32" spans="1:41">
      <c r="A32" s="71"/>
      <c r="B32" s="72" t="s">
        <v>64</v>
      </c>
      <c r="C32" s="73">
        <f>+Zal_1_WPF_wg_przeplywow!C27</f>
        <v>15146584.24</v>
      </c>
      <c r="D32" s="73">
        <f>+Zal_1_WPF_wg_przeplywow!D27</f>
        <v>17037855</v>
      </c>
      <c r="E32" s="73">
        <f>+Zal_1_WPF_wg_przeplywow!E27</f>
        <v>16900000</v>
      </c>
      <c r="F32" s="73">
        <f>+Zal_1_WPF_wg_przeplywow!F27</f>
        <v>20744409</v>
      </c>
      <c r="G32" s="73">
        <f>+Zal_1_WPF_wg_przeplywow!G27</f>
        <v>17467560</v>
      </c>
      <c r="H32" s="73">
        <f>+Zal_1_WPF_wg_przeplywow!H27</f>
        <v>15586023</v>
      </c>
      <c r="I32" s="73">
        <f>+Zal_1_WPF_wg_przeplywow!I27</f>
        <v>17110112</v>
      </c>
      <c r="J32" s="73">
        <f>+Zal_1_WPF_wg_przeplywow!J27</f>
        <v>19400000</v>
      </c>
      <c r="K32" s="73">
        <f>+Zal_1_WPF_wg_przeplywow!K27</f>
        <v>20700000</v>
      </c>
      <c r="L32" s="73">
        <f>+Zal_1_WPF_wg_przeplywow!L27</f>
        <v>22083017</v>
      </c>
      <c r="M32" s="73">
        <f>+Zal_1_WPF_wg_przeplywow!M27</f>
        <v>22649236</v>
      </c>
      <c r="N32" s="73">
        <f>+Zal_1_WPF_wg_przeplywow!N27</f>
        <v>14709433</v>
      </c>
      <c r="O32" s="73">
        <f>+Zal_1_WPF_wg_przeplywow!O27</f>
        <v>3625279</v>
      </c>
      <c r="P32" s="73">
        <f>+Zal_1_WPF_wg_przeplywow!P27</f>
        <v>3625279</v>
      </c>
      <c r="Q32" s="73">
        <f>+Zal_1_WPF_wg_przeplywow!Q27</f>
        <v>3625279</v>
      </c>
      <c r="R32" s="73">
        <f>+Zal_1_WPF_wg_przeplywow!R27</f>
        <v>3625279</v>
      </c>
      <c r="S32" s="73">
        <f>+Zal_1_WPF_wg_przeplywow!S27</f>
        <v>3625279</v>
      </c>
      <c r="T32" s="73">
        <f>+Zal_1_WPF_wg_przeplywow!T27</f>
        <v>3625279.37</v>
      </c>
      <c r="U32" s="73">
        <f>+Zal_1_WPF_wg_przeplywow!U27</f>
        <v>0</v>
      </c>
      <c r="V32" s="73">
        <f>+Zal_1_WPF_wg_przeplywow!V27</f>
        <v>0</v>
      </c>
      <c r="W32" s="73">
        <f>+Zal_1_WPF_wg_przeplywow!W27</f>
        <v>0</v>
      </c>
      <c r="X32" s="73">
        <f>+Zal_1_WPF_wg_przeplywow!X27</f>
        <v>0</v>
      </c>
      <c r="Y32" s="73">
        <f>+Zal_1_WPF_wg_przeplywow!Y27</f>
        <v>0</v>
      </c>
      <c r="Z32" s="73">
        <f>+Zal_1_WPF_wg_przeplywow!Z27</f>
        <v>0</v>
      </c>
      <c r="AA32" s="73">
        <f>+Zal_1_WPF_wg_przeplywow!AA27</f>
        <v>0</v>
      </c>
      <c r="AB32" s="73">
        <f>+Zal_1_WPF_wg_przeplywow!AB27</f>
        <v>0</v>
      </c>
      <c r="AC32" s="73">
        <f>+Zal_1_WPF_wg_przeplywow!AC27</f>
        <v>0</v>
      </c>
      <c r="AD32" s="73">
        <f>+Zal_1_WPF_wg_przeplywow!AD27</f>
        <v>0</v>
      </c>
      <c r="AE32" s="73">
        <f>+Zal_1_WPF_wg_przeplywow!AE27</f>
        <v>0</v>
      </c>
      <c r="AF32" s="73">
        <f>+Zal_1_WPF_wg_przeplywow!AF27</f>
        <v>0</v>
      </c>
      <c r="AG32" s="73">
        <f>+Zal_1_WPF_wg_przeplywow!AG27</f>
        <v>0</v>
      </c>
      <c r="AH32" s="73">
        <f>+Zal_1_WPF_wg_przeplywow!AH27</f>
        <v>0</v>
      </c>
      <c r="AI32" s="73">
        <f>+Zal_1_WPF_wg_przeplywow!AI27</f>
        <v>0</v>
      </c>
      <c r="AJ32" s="73">
        <f>+Zal_1_WPF_wg_przeplywow!AJ27</f>
        <v>0</v>
      </c>
      <c r="AK32" s="73">
        <f>+Zal_1_WPF_wg_przeplywow!AK27</f>
        <v>0</v>
      </c>
      <c r="AL32" s="73">
        <f>+Zal_1_WPF_wg_przeplywow!AL27</f>
        <v>0</v>
      </c>
      <c r="AM32" s="73">
        <f>+Zal_1_WPF_wg_przeplywow!AM27</f>
        <v>0</v>
      </c>
      <c r="AN32" s="73">
        <f>+Zal_1_WPF_wg_przeplywow!AN27</f>
        <v>0</v>
      </c>
      <c r="AO32" s="73">
        <f>+Zal_1_WPF_wg_przeplywow!AO27</f>
        <v>0</v>
      </c>
    </row>
    <row r="33" spans="1:246" ht="24">
      <c r="A33" s="71"/>
      <c r="B33" s="74" t="s">
        <v>65</v>
      </c>
      <c r="C33" s="73">
        <f>+Zal_1_WPF_wg_przeplywow!C28</f>
        <v>173448.19</v>
      </c>
      <c r="D33" s="73">
        <f>+Zal_1_WPF_wg_przeplywow!D28</f>
        <v>966894.22</v>
      </c>
      <c r="E33" s="73">
        <f>+Zal_1_WPF_wg_przeplywow!E28</f>
        <v>866427.86</v>
      </c>
      <c r="F33" s="73">
        <f>+Zal_1_WPF_wg_przeplywow!F28</f>
        <v>0</v>
      </c>
      <c r="G33" s="73">
        <f>+Zal_1_WPF_wg_przeplywow!G28</f>
        <v>0</v>
      </c>
      <c r="H33" s="73">
        <f>+Zal_1_WPF_wg_przeplywow!H28</f>
        <v>0</v>
      </c>
      <c r="I33" s="73">
        <f>+Zal_1_WPF_wg_przeplywow!I28</f>
        <v>0</v>
      </c>
      <c r="J33" s="73">
        <f>+Zal_1_WPF_wg_przeplywow!J28</f>
        <v>0</v>
      </c>
      <c r="K33" s="73">
        <f>+Zal_1_WPF_wg_przeplywow!K28</f>
        <v>0</v>
      </c>
      <c r="L33" s="73">
        <f>+Zal_1_WPF_wg_przeplywow!L28</f>
        <v>0</v>
      </c>
      <c r="M33" s="73">
        <f>+Zal_1_WPF_wg_przeplywow!M28</f>
        <v>0</v>
      </c>
      <c r="N33" s="73">
        <f>+Zal_1_WPF_wg_przeplywow!N28</f>
        <v>0</v>
      </c>
      <c r="O33" s="73">
        <f>+Zal_1_WPF_wg_przeplywow!O28</f>
        <v>0</v>
      </c>
      <c r="P33" s="73">
        <f>+Zal_1_WPF_wg_przeplywow!P28</f>
        <v>0</v>
      </c>
      <c r="Q33" s="73">
        <f>+Zal_1_WPF_wg_przeplywow!Q28</f>
        <v>0</v>
      </c>
      <c r="R33" s="73">
        <f>+Zal_1_WPF_wg_przeplywow!R28</f>
        <v>0</v>
      </c>
      <c r="S33" s="73">
        <f>+Zal_1_WPF_wg_przeplywow!S28</f>
        <v>0</v>
      </c>
      <c r="T33" s="73">
        <f>+Zal_1_WPF_wg_przeplywow!T28</f>
        <v>0</v>
      </c>
      <c r="U33" s="73">
        <f>+Zal_1_WPF_wg_przeplywow!U28</f>
        <v>0</v>
      </c>
      <c r="V33" s="73">
        <f>+Zal_1_WPF_wg_przeplywow!V28</f>
        <v>0</v>
      </c>
      <c r="W33" s="73">
        <f>+Zal_1_WPF_wg_przeplywow!W28</f>
        <v>0</v>
      </c>
      <c r="X33" s="73">
        <f>+Zal_1_WPF_wg_przeplywow!X28</f>
        <v>0</v>
      </c>
      <c r="Y33" s="73">
        <f>+Zal_1_WPF_wg_przeplywow!Y28</f>
        <v>0</v>
      </c>
      <c r="Z33" s="73">
        <f>+Zal_1_WPF_wg_przeplywow!Z28</f>
        <v>0</v>
      </c>
      <c r="AA33" s="73">
        <f>+Zal_1_WPF_wg_przeplywow!AA28</f>
        <v>0</v>
      </c>
      <c r="AB33" s="73">
        <f>+Zal_1_WPF_wg_przeplywow!AB28</f>
        <v>0</v>
      </c>
      <c r="AC33" s="73">
        <f>+Zal_1_WPF_wg_przeplywow!AC28</f>
        <v>0</v>
      </c>
      <c r="AD33" s="73">
        <f>+Zal_1_WPF_wg_przeplywow!AD28</f>
        <v>0</v>
      </c>
      <c r="AE33" s="73">
        <f>+Zal_1_WPF_wg_przeplywow!AE28</f>
        <v>0</v>
      </c>
      <c r="AF33" s="73">
        <f>+Zal_1_WPF_wg_przeplywow!AF28</f>
        <v>0</v>
      </c>
      <c r="AG33" s="73">
        <f>+Zal_1_WPF_wg_przeplywow!AG28</f>
        <v>0</v>
      </c>
      <c r="AH33" s="73">
        <f>+Zal_1_WPF_wg_przeplywow!AH28</f>
        <v>0</v>
      </c>
      <c r="AI33" s="73">
        <f>+Zal_1_WPF_wg_przeplywow!AI28</f>
        <v>0</v>
      </c>
      <c r="AJ33" s="73">
        <f>+Zal_1_WPF_wg_przeplywow!AJ28</f>
        <v>0</v>
      </c>
      <c r="AK33" s="73">
        <f>+Zal_1_WPF_wg_przeplywow!AK28</f>
        <v>0</v>
      </c>
      <c r="AL33" s="73">
        <f>+Zal_1_WPF_wg_przeplywow!AL28</f>
        <v>0</v>
      </c>
      <c r="AM33" s="73">
        <f>+Zal_1_WPF_wg_przeplywow!AM28</f>
        <v>0</v>
      </c>
      <c r="AN33" s="73">
        <f>+Zal_1_WPF_wg_przeplywow!AN28</f>
        <v>0</v>
      </c>
      <c r="AO33" s="73">
        <f>+Zal_1_WPF_wg_przeplywow!AO28</f>
        <v>0</v>
      </c>
    </row>
    <row r="34" spans="1:246" ht="12.75" thickBot="1">
      <c r="A34" s="85"/>
      <c r="B34" s="86" t="s">
        <v>15</v>
      </c>
      <c r="C34" s="90">
        <f>+Zal_1_WPF_wg_przeplywow!C31</f>
        <v>0</v>
      </c>
      <c r="D34" s="90">
        <f>+Zal_1_WPF_wg_przeplywow!D31</f>
        <v>0</v>
      </c>
      <c r="E34" s="90">
        <f>+Zal_1_WPF_wg_przeplywow!E31</f>
        <v>0</v>
      </c>
      <c r="F34" s="90">
        <f>+Zal_1_WPF_wg_przeplywow!F31</f>
        <v>0</v>
      </c>
      <c r="G34" s="90">
        <f>+Zal_1_WPF_wg_przeplywow!G31</f>
        <v>0</v>
      </c>
      <c r="H34" s="90">
        <f>+Zal_1_WPF_wg_przeplywow!H31</f>
        <v>0</v>
      </c>
      <c r="I34" s="90">
        <f>+Zal_1_WPF_wg_przeplywow!I31</f>
        <v>0</v>
      </c>
      <c r="J34" s="90">
        <f>+Zal_1_WPF_wg_przeplywow!J31</f>
        <v>0</v>
      </c>
      <c r="K34" s="90">
        <f>+Zal_1_WPF_wg_przeplywow!K31</f>
        <v>0</v>
      </c>
      <c r="L34" s="90">
        <f>+Zal_1_WPF_wg_przeplywow!L31</f>
        <v>0</v>
      </c>
      <c r="M34" s="90">
        <f>+Zal_1_WPF_wg_przeplywow!M31</f>
        <v>0</v>
      </c>
      <c r="N34" s="90">
        <f>+Zal_1_WPF_wg_przeplywow!N31</f>
        <v>0</v>
      </c>
      <c r="O34" s="90">
        <f>+Zal_1_WPF_wg_przeplywow!O31</f>
        <v>0</v>
      </c>
      <c r="P34" s="90">
        <f>+Zal_1_WPF_wg_przeplywow!P31</f>
        <v>0</v>
      </c>
      <c r="Q34" s="90">
        <f>+Zal_1_WPF_wg_przeplywow!Q31</f>
        <v>0</v>
      </c>
      <c r="R34" s="90">
        <f>+Zal_1_WPF_wg_przeplywow!R31</f>
        <v>0</v>
      </c>
      <c r="S34" s="90">
        <f>+Zal_1_WPF_wg_przeplywow!S31</f>
        <v>0</v>
      </c>
      <c r="T34" s="90">
        <f>+Zal_1_WPF_wg_przeplywow!T31</f>
        <v>0</v>
      </c>
      <c r="U34" s="90">
        <f>+Zal_1_WPF_wg_przeplywow!U31</f>
        <v>0</v>
      </c>
      <c r="V34" s="90">
        <f>+Zal_1_WPF_wg_przeplywow!V31</f>
        <v>0</v>
      </c>
      <c r="W34" s="90">
        <f>+Zal_1_WPF_wg_przeplywow!W31</f>
        <v>0</v>
      </c>
      <c r="X34" s="90">
        <f>+Zal_1_WPF_wg_przeplywow!X31</f>
        <v>0</v>
      </c>
      <c r="Y34" s="90">
        <f>+Zal_1_WPF_wg_przeplywow!Y31</f>
        <v>0</v>
      </c>
      <c r="Z34" s="90">
        <f>+Zal_1_WPF_wg_przeplywow!Z31</f>
        <v>0</v>
      </c>
      <c r="AA34" s="90">
        <f>+Zal_1_WPF_wg_przeplywow!AA31</f>
        <v>0</v>
      </c>
      <c r="AB34" s="90">
        <f>+Zal_1_WPF_wg_przeplywow!AB31</f>
        <v>0</v>
      </c>
      <c r="AC34" s="90">
        <f>+Zal_1_WPF_wg_przeplywow!AC31</f>
        <v>0</v>
      </c>
      <c r="AD34" s="90">
        <f>+Zal_1_WPF_wg_przeplywow!AD31</f>
        <v>0</v>
      </c>
      <c r="AE34" s="90">
        <f>+Zal_1_WPF_wg_przeplywow!AE31</f>
        <v>0</v>
      </c>
      <c r="AF34" s="90">
        <f>+Zal_1_WPF_wg_przeplywow!AF31</f>
        <v>0</v>
      </c>
      <c r="AG34" s="90">
        <f>+Zal_1_WPF_wg_przeplywow!AG31</f>
        <v>0</v>
      </c>
      <c r="AH34" s="90">
        <f>+Zal_1_WPF_wg_przeplywow!AH31</f>
        <v>0</v>
      </c>
      <c r="AI34" s="90">
        <f>+Zal_1_WPF_wg_przeplywow!AI31</f>
        <v>0</v>
      </c>
      <c r="AJ34" s="90">
        <f>+Zal_1_WPF_wg_przeplywow!AJ31</f>
        <v>0</v>
      </c>
      <c r="AK34" s="90">
        <f>+Zal_1_WPF_wg_przeplywow!AK31</f>
        <v>0</v>
      </c>
      <c r="AL34" s="90">
        <f>+Zal_1_WPF_wg_przeplywow!AL31</f>
        <v>0</v>
      </c>
      <c r="AM34" s="90">
        <f>+Zal_1_WPF_wg_przeplywow!AM31</f>
        <v>0</v>
      </c>
      <c r="AN34" s="90">
        <f>+Zal_1_WPF_wg_przeplywow!AN31</f>
        <v>0</v>
      </c>
      <c r="AO34" s="90">
        <f>+Zal_1_WPF_wg_przeplywow!AO31</f>
        <v>0</v>
      </c>
    </row>
    <row r="35" spans="1:246" s="30" customFormat="1">
      <c r="A35" s="68" t="s">
        <v>11</v>
      </c>
      <c r="B35" s="69" t="s">
        <v>66</v>
      </c>
      <c r="C35" s="70">
        <f>+Zal_1_WPF_wg_przeplywow!C39</f>
        <v>156274133.18000001</v>
      </c>
      <c r="D35" s="70">
        <f>+Zal_1_WPF_wg_przeplywow!D39</f>
        <v>185607919.37</v>
      </c>
      <c r="E35" s="70">
        <f>+Zal_1_WPF_wg_przeplywow!E39</f>
        <v>192201464.37</v>
      </c>
      <c r="F35" s="70">
        <f>+Zal_1_WPF_wg_przeplywow!F39</f>
        <v>171457055.37</v>
      </c>
      <c r="G35" s="70">
        <f>+Zal_1_WPF_wg_przeplywow!G39</f>
        <v>153989495.37</v>
      </c>
      <c r="H35" s="70">
        <f>+Zal_1_WPF_wg_przeplywow!H39</f>
        <v>138403472.37</v>
      </c>
      <c r="I35" s="70">
        <f>+Zal_1_WPF_wg_przeplywow!I39</f>
        <v>121293360.37</v>
      </c>
      <c r="J35" s="70">
        <f>+Zal_1_WPF_wg_przeplywow!J39</f>
        <v>101893360.37</v>
      </c>
      <c r="K35" s="70">
        <f>+Zal_1_WPF_wg_przeplywow!K39</f>
        <v>81193360.370000005</v>
      </c>
      <c r="L35" s="70">
        <f>+Zal_1_WPF_wg_przeplywow!L39</f>
        <v>59110343.369999997</v>
      </c>
      <c r="M35" s="70">
        <f>+Zal_1_WPF_wg_przeplywow!M39</f>
        <v>36461107.369999997</v>
      </c>
      <c r="N35" s="70">
        <f>+Zal_1_WPF_wg_przeplywow!N39</f>
        <v>21751674.370000001</v>
      </c>
      <c r="O35" s="70">
        <f>+Zal_1_WPF_wg_przeplywow!O39</f>
        <v>18126395.370000001</v>
      </c>
      <c r="P35" s="70">
        <f>+Zal_1_WPF_wg_przeplywow!P39</f>
        <v>14501116.369999999</v>
      </c>
      <c r="Q35" s="70">
        <f>+Zal_1_WPF_wg_przeplywow!Q39</f>
        <v>10875837.369999999</v>
      </c>
      <c r="R35" s="70">
        <f>+Zal_1_WPF_wg_przeplywow!R39</f>
        <v>7250558.3700000001</v>
      </c>
      <c r="S35" s="70">
        <f>+Zal_1_WPF_wg_przeplywow!S39</f>
        <v>3625279.37</v>
      </c>
      <c r="T35" s="70">
        <f>+Zal_1_WPF_wg_przeplywow!T39</f>
        <v>0</v>
      </c>
      <c r="U35" s="70">
        <f>+Zal_1_WPF_wg_przeplywow!U39</f>
        <v>0</v>
      </c>
      <c r="V35" s="70">
        <f>+Zal_1_WPF_wg_przeplywow!V39</f>
        <v>0</v>
      </c>
      <c r="W35" s="70">
        <f>+Zal_1_WPF_wg_przeplywow!W39</f>
        <v>0</v>
      </c>
      <c r="X35" s="70">
        <f>+Zal_1_WPF_wg_przeplywow!X39</f>
        <v>0</v>
      </c>
      <c r="Y35" s="70">
        <f>+Zal_1_WPF_wg_przeplywow!Y39</f>
        <v>0</v>
      </c>
      <c r="Z35" s="70">
        <f>+Zal_1_WPF_wg_przeplywow!Z39</f>
        <v>0</v>
      </c>
      <c r="AA35" s="70">
        <f>+Zal_1_WPF_wg_przeplywow!AA39</f>
        <v>0</v>
      </c>
      <c r="AB35" s="70">
        <f>+Zal_1_WPF_wg_przeplywow!AB39</f>
        <v>0</v>
      </c>
      <c r="AC35" s="70">
        <f>+Zal_1_WPF_wg_przeplywow!AC39</f>
        <v>0</v>
      </c>
      <c r="AD35" s="70">
        <f>+Zal_1_WPF_wg_przeplywow!AD39</f>
        <v>0</v>
      </c>
      <c r="AE35" s="70">
        <f>+Zal_1_WPF_wg_przeplywow!AE39</f>
        <v>0</v>
      </c>
      <c r="AF35" s="70">
        <f>+Zal_1_WPF_wg_przeplywow!AF39</f>
        <v>0</v>
      </c>
      <c r="AG35" s="70">
        <f>+Zal_1_WPF_wg_przeplywow!AG39</f>
        <v>0</v>
      </c>
      <c r="AH35" s="70">
        <f>+Zal_1_WPF_wg_przeplywow!AH39</f>
        <v>0</v>
      </c>
      <c r="AI35" s="70">
        <f>+Zal_1_WPF_wg_przeplywow!AI39</f>
        <v>0</v>
      </c>
      <c r="AJ35" s="70">
        <f>+Zal_1_WPF_wg_przeplywow!AJ39</f>
        <v>0</v>
      </c>
      <c r="AK35" s="70">
        <f>+Zal_1_WPF_wg_przeplywow!AK39</f>
        <v>0</v>
      </c>
      <c r="AL35" s="70">
        <f>+Zal_1_WPF_wg_przeplywow!AL39</f>
        <v>0</v>
      </c>
      <c r="AM35" s="70">
        <f>+Zal_1_WPF_wg_przeplywow!AM39</f>
        <v>0</v>
      </c>
      <c r="AN35" s="70">
        <f>+Zal_1_WPF_wg_przeplywow!AN39</f>
        <v>0</v>
      </c>
      <c r="AO35" s="70">
        <f>+Zal_1_WPF_wg_przeplywow!AO39</f>
        <v>0</v>
      </c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</row>
    <row r="36" spans="1:246" s="4" customFormat="1" ht="24">
      <c r="A36" s="89"/>
      <c r="B36" s="86" t="s">
        <v>67</v>
      </c>
      <c r="C36" s="90">
        <f>+Zal_1_WPF_wg_przeplywow!C40</f>
        <v>0</v>
      </c>
      <c r="D36" s="90">
        <f>+Zal_1_WPF_wg_przeplywow!D40</f>
        <v>0</v>
      </c>
      <c r="E36" s="90">
        <f>+Zal_1_WPF_wg_przeplywow!E40</f>
        <v>0</v>
      </c>
      <c r="F36" s="90">
        <f>+Zal_1_WPF_wg_przeplywow!F40</f>
        <v>0</v>
      </c>
      <c r="G36" s="90">
        <f>+Zal_1_WPF_wg_przeplywow!G40</f>
        <v>0</v>
      </c>
      <c r="H36" s="90">
        <f>+Zal_1_WPF_wg_przeplywow!H40</f>
        <v>0</v>
      </c>
      <c r="I36" s="90">
        <f>+Zal_1_WPF_wg_przeplywow!I40</f>
        <v>0</v>
      </c>
      <c r="J36" s="90">
        <f>+Zal_1_WPF_wg_przeplywow!J40</f>
        <v>0</v>
      </c>
      <c r="K36" s="90">
        <f>+Zal_1_WPF_wg_przeplywow!K40</f>
        <v>0</v>
      </c>
      <c r="L36" s="90">
        <f>+Zal_1_WPF_wg_przeplywow!L40</f>
        <v>0</v>
      </c>
      <c r="M36" s="90">
        <f>+Zal_1_WPF_wg_przeplywow!M40</f>
        <v>0</v>
      </c>
      <c r="N36" s="90">
        <f>+Zal_1_WPF_wg_przeplywow!N40</f>
        <v>0</v>
      </c>
      <c r="O36" s="90">
        <f>+Zal_1_WPF_wg_przeplywow!O40</f>
        <v>0</v>
      </c>
      <c r="P36" s="90">
        <f>+Zal_1_WPF_wg_przeplywow!P40</f>
        <v>0</v>
      </c>
      <c r="Q36" s="90">
        <f>+Zal_1_WPF_wg_przeplywow!Q40</f>
        <v>0</v>
      </c>
      <c r="R36" s="90">
        <f>+Zal_1_WPF_wg_przeplywow!R40</f>
        <v>0</v>
      </c>
      <c r="S36" s="90">
        <f>+Zal_1_WPF_wg_przeplywow!S40</f>
        <v>0</v>
      </c>
      <c r="T36" s="90">
        <f>+Zal_1_WPF_wg_przeplywow!T40</f>
        <v>0</v>
      </c>
      <c r="U36" s="90">
        <f>+Zal_1_WPF_wg_przeplywow!U40</f>
        <v>0</v>
      </c>
      <c r="V36" s="90">
        <f>+Zal_1_WPF_wg_przeplywow!V40</f>
        <v>0</v>
      </c>
      <c r="W36" s="90">
        <f>+Zal_1_WPF_wg_przeplywow!W40</f>
        <v>0</v>
      </c>
      <c r="X36" s="90">
        <f>+Zal_1_WPF_wg_przeplywow!X40</f>
        <v>0</v>
      </c>
      <c r="Y36" s="90">
        <f>+Zal_1_WPF_wg_przeplywow!Y40</f>
        <v>0</v>
      </c>
      <c r="Z36" s="90">
        <f>+Zal_1_WPF_wg_przeplywow!Z40</f>
        <v>0</v>
      </c>
      <c r="AA36" s="90">
        <f>+Zal_1_WPF_wg_przeplywow!AA40</f>
        <v>0</v>
      </c>
      <c r="AB36" s="90">
        <f>+Zal_1_WPF_wg_przeplywow!AB40</f>
        <v>0</v>
      </c>
      <c r="AC36" s="90">
        <f>+Zal_1_WPF_wg_przeplywow!AC40</f>
        <v>0</v>
      </c>
      <c r="AD36" s="90">
        <f>+Zal_1_WPF_wg_przeplywow!AD40</f>
        <v>0</v>
      </c>
      <c r="AE36" s="90">
        <f>+Zal_1_WPF_wg_przeplywow!AE40</f>
        <v>0</v>
      </c>
      <c r="AF36" s="90">
        <f>+Zal_1_WPF_wg_przeplywow!AF40</f>
        <v>0</v>
      </c>
      <c r="AG36" s="90">
        <f>+Zal_1_WPF_wg_przeplywow!AG40</f>
        <v>0</v>
      </c>
      <c r="AH36" s="90">
        <f>+Zal_1_WPF_wg_przeplywow!AH40</f>
        <v>0</v>
      </c>
      <c r="AI36" s="90">
        <f>+Zal_1_WPF_wg_przeplywow!AI40</f>
        <v>0</v>
      </c>
      <c r="AJ36" s="90">
        <f>+Zal_1_WPF_wg_przeplywow!AJ40</f>
        <v>0</v>
      </c>
      <c r="AK36" s="90">
        <f>+Zal_1_WPF_wg_przeplywow!AK40</f>
        <v>0</v>
      </c>
      <c r="AL36" s="90">
        <f>+Zal_1_WPF_wg_przeplywow!AL40</f>
        <v>0</v>
      </c>
      <c r="AM36" s="90">
        <f>+Zal_1_WPF_wg_przeplywow!AM40</f>
        <v>0</v>
      </c>
      <c r="AN36" s="90">
        <f>+Zal_1_WPF_wg_przeplywow!AN40</f>
        <v>0</v>
      </c>
      <c r="AO36" s="90">
        <f>+Zal_1_WPF_wg_przeplywow!AO40</f>
        <v>0</v>
      </c>
    </row>
    <row r="37" spans="1:246">
      <c r="A37" s="62" t="s">
        <v>14</v>
      </c>
      <c r="B37" s="63" t="s">
        <v>68</v>
      </c>
      <c r="C37" s="57">
        <f>+Zal_1_WPF_wg_przeplywow!C41</f>
        <v>49493281.5</v>
      </c>
      <c r="D37" s="57">
        <f>+Zal_1_WPF_wg_przeplywow!D41</f>
        <v>77860173.469999999</v>
      </c>
      <c r="E37" s="57">
        <f>+Zal_1_WPF_wg_przeplywow!E41</f>
        <v>83587290.459999993</v>
      </c>
      <c r="F37" s="57">
        <f>+Zal_1_WPF_wg_przeplywow!F41</f>
        <v>0</v>
      </c>
      <c r="G37" s="57">
        <f>+Zal_1_WPF_wg_przeplywow!G41</f>
        <v>0</v>
      </c>
      <c r="H37" s="57">
        <f>+Zal_1_WPF_wg_przeplywow!H41</f>
        <v>0</v>
      </c>
      <c r="I37" s="57">
        <f>+Zal_1_WPF_wg_przeplywow!I41</f>
        <v>0</v>
      </c>
      <c r="J37" s="57">
        <f>+Zal_1_WPF_wg_przeplywow!J41</f>
        <v>0</v>
      </c>
      <c r="K37" s="57">
        <f>+Zal_1_WPF_wg_przeplywow!K41</f>
        <v>0</v>
      </c>
      <c r="L37" s="57">
        <f>+Zal_1_WPF_wg_przeplywow!L41</f>
        <v>0</v>
      </c>
      <c r="M37" s="57">
        <f>+Zal_1_WPF_wg_przeplywow!M41</f>
        <v>0</v>
      </c>
      <c r="N37" s="57">
        <f>+Zal_1_WPF_wg_przeplywow!N41</f>
        <v>0</v>
      </c>
      <c r="O37" s="57">
        <f>+Zal_1_WPF_wg_przeplywow!O41</f>
        <v>0</v>
      </c>
      <c r="P37" s="57">
        <f>+Zal_1_WPF_wg_przeplywow!P41</f>
        <v>0</v>
      </c>
      <c r="Q37" s="57">
        <f>+Zal_1_WPF_wg_przeplywow!Q41</f>
        <v>0</v>
      </c>
      <c r="R37" s="57">
        <f>+Zal_1_WPF_wg_przeplywow!R41</f>
        <v>0</v>
      </c>
      <c r="S37" s="57">
        <f>+Zal_1_WPF_wg_przeplywow!S41</f>
        <v>0</v>
      </c>
      <c r="T37" s="57">
        <f>+Zal_1_WPF_wg_przeplywow!T41</f>
        <v>0</v>
      </c>
      <c r="U37" s="57">
        <f>+Zal_1_WPF_wg_przeplywow!U41</f>
        <v>0</v>
      </c>
      <c r="V37" s="57">
        <f>+Zal_1_WPF_wg_przeplywow!V41</f>
        <v>0</v>
      </c>
      <c r="W37" s="57">
        <f>+Zal_1_WPF_wg_przeplywow!W41</f>
        <v>0</v>
      </c>
      <c r="X37" s="57">
        <f>+Zal_1_WPF_wg_przeplywow!X41</f>
        <v>0</v>
      </c>
      <c r="Y37" s="57">
        <f>+Zal_1_WPF_wg_przeplywow!Y41</f>
        <v>0</v>
      </c>
      <c r="Z37" s="57">
        <f>+Zal_1_WPF_wg_przeplywow!Z41</f>
        <v>0</v>
      </c>
      <c r="AA37" s="57">
        <f>+Zal_1_WPF_wg_przeplywow!AA41</f>
        <v>0</v>
      </c>
      <c r="AB37" s="57">
        <f>+Zal_1_WPF_wg_przeplywow!AB41</f>
        <v>0</v>
      </c>
      <c r="AC37" s="57">
        <f>+Zal_1_WPF_wg_przeplywow!AC41</f>
        <v>0</v>
      </c>
      <c r="AD37" s="57">
        <f>+Zal_1_WPF_wg_przeplywow!AD41</f>
        <v>0</v>
      </c>
      <c r="AE37" s="57">
        <f>+Zal_1_WPF_wg_przeplywow!AE41</f>
        <v>0</v>
      </c>
      <c r="AF37" s="57">
        <f>+Zal_1_WPF_wg_przeplywow!AF41</f>
        <v>0</v>
      </c>
      <c r="AG37" s="57">
        <f>+Zal_1_WPF_wg_przeplywow!AG41</f>
        <v>0</v>
      </c>
      <c r="AH37" s="57">
        <f>+Zal_1_WPF_wg_przeplywow!AH41</f>
        <v>0</v>
      </c>
      <c r="AI37" s="57">
        <f>+Zal_1_WPF_wg_przeplywow!AI41</f>
        <v>0</v>
      </c>
      <c r="AJ37" s="57">
        <f>+Zal_1_WPF_wg_przeplywow!AJ41</f>
        <v>0</v>
      </c>
      <c r="AK37" s="57">
        <f>+Zal_1_WPF_wg_przeplywow!AK41</f>
        <v>0</v>
      </c>
      <c r="AL37" s="57">
        <f>+Zal_1_WPF_wg_przeplywow!AL41</f>
        <v>0</v>
      </c>
      <c r="AM37" s="57">
        <f>+Zal_1_WPF_wg_przeplywow!AM41</f>
        <v>0</v>
      </c>
      <c r="AN37" s="57">
        <f>+Zal_1_WPF_wg_przeplywow!AN41</f>
        <v>0</v>
      </c>
      <c r="AO37" s="57">
        <f>+Zal_1_WPF_wg_przeplywow!AO41</f>
        <v>0</v>
      </c>
    </row>
    <row r="38" spans="1:246" ht="24">
      <c r="A38" s="68" t="s">
        <v>16</v>
      </c>
      <c r="B38" s="91" t="s">
        <v>69</v>
      </c>
      <c r="C38" s="92">
        <f>+Zal_1_WPF_wg_przeplywow!C46</f>
        <v>0.38640000000000002</v>
      </c>
      <c r="D38" s="92">
        <f>+Zal_1_WPF_wg_przeplywow!D46</f>
        <v>0.46929999999999999</v>
      </c>
      <c r="E38" s="92">
        <f t="shared" ref="E38:AD38" si="14">+IF(E6&lt;&gt;0,E35/E6,"")</f>
        <v>0.59222110432353459</v>
      </c>
      <c r="F38" s="92">
        <f t="shared" si="14"/>
        <v>0.50416992939697236</v>
      </c>
      <c r="G38" s="92">
        <f t="shared" si="14"/>
        <v>0.4503536519583628</v>
      </c>
      <c r="H38" s="92">
        <f t="shared" si="14"/>
        <v>0.39481911942808418</v>
      </c>
      <c r="I38" s="92">
        <f t="shared" si="14"/>
        <v>0.33621105289339792</v>
      </c>
      <c r="J38" s="92">
        <f t="shared" si="14"/>
        <v>0.27666723259980364</v>
      </c>
      <c r="K38" s="92">
        <f t="shared" si="14"/>
        <v>0.21472501797781487</v>
      </c>
      <c r="L38" s="92">
        <f t="shared" si="14"/>
        <v>0.15262515213658312</v>
      </c>
      <c r="M38" s="92">
        <f t="shared" si="14"/>
        <v>9.1659254550834263E-2</v>
      </c>
      <c r="N38" s="92">
        <f t="shared" si="14"/>
        <v>5.3035609504908612E-2</v>
      </c>
      <c r="O38" s="92">
        <f t="shared" si="14"/>
        <v>4.3226794954521919E-2</v>
      </c>
      <c r="P38" s="92">
        <f t="shared" si="14"/>
        <v>3.3575375876627539E-2</v>
      </c>
      <c r="Q38" s="92">
        <f t="shared" si="14"/>
        <v>2.4448913826374586E-2</v>
      </c>
      <c r="R38" s="92">
        <f t="shared" si="14"/>
        <v>1.5825058061922696E-2</v>
      </c>
      <c r="S38" s="92">
        <f t="shared" si="14"/>
        <v>7.6823115965349471E-3</v>
      </c>
      <c r="T38" s="92">
        <f t="shared" si="14"/>
        <v>0</v>
      </c>
      <c r="U38" s="92">
        <f t="shared" si="14"/>
        <v>0</v>
      </c>
      <c r="V38" s="92" t="str">
        <f t="shared" si="14"/>
        <v/>
      </c>
      <c r="W38" s="92" t="str">
        <f t="shared" si="14"/>
        <v/>
      </c>
      <c r="X38" s="92" t="str">
        <f t="shared" si="14"/>
        <v/>
      </c>
      <c r="Y38" s="92" t="str">
        <f t="shared" si="14"/>
        <v/>
      </c>
      <c r="Z38" s="92" t="str">
        <f t="shared" si="14"/>
        <v/>
      </c>
      <c r="AA38" s="92" t="str">
        <f t="shared" si="14"/>
        <v/>
      </c>
      <c r="AB38" s="92" t="str">
        <f t="shared" si="14"/>
        <v/>
      </c>
      <c r="AC38" s="92" t="str">
        <f t="shared" si="14"/>
        <v/>
      </c>
      <c r="AD38" s="92" t="str">
        <f t="shared" si="14"/>
        <v/>
      </c>
      <c r="AE38" s="92" t="str">
        <f t="shared" ref="AE38:AO38" si="15">+IF(AE6&lt;&gt;0,AE35/AE6,"")</f>
        <v/>
      </c>
      <c r="AF38" s="92" t="str">
        <f t="shared" si="15"/>
        <v/>
      </c>
      <c r="AG38" s="92" t="str">
        <f t="shared" si="15"/>
        <v/>
      </c>
      <c r="AH38" s="92" t="str">
        <f t="shared" si="15"/>
        <v/>
      </c>
      <c r="AI38" s="92" t="str">
        <f t="shared" si="15"/>
        <v/>
      </c>
      <c r="AJ38" s="92" t="str">
        <f t="shared" si="15"/>
        <v/>
      </c>
      <c r="AK38" s="92" t="str">
        <f t="shared" si="15"/>
        <v/>
      </c>
      <c r="AL38" s="92" t="str">
        <f t="shared" si="15"/>
        <v/>
      </c>
      <c r="AM38" s="92" t="str">
        <f t="shared" si="15"/>
        <v/>
      </c>
      <c r="AN38" s="92" t="str">
        <f t="shared" si="15"/>
        <v/>
      </c>
      <c r="AO38" s="92" t="str">
        <f t="shared" si="15"/>
        <v/>
      </c>
    </row>
    <row r="39" spans="1:246" ht="24">
      <c r="A39" s="76" t="s">
        <v>70</v>
      </c>
      <c r="B39" s="81" t="s">
        <v>71</v>
      </c>
      <c r="C39" s="82">
        <f>+Zal_1_WPF_wg_przeplywow!C47</f>
        <v>0.2641</v>
      </c>
      <c r="D39" s="82">
        <f>+Zal_1_WPF_wg_przeplywow!D47</f>
        <v>0.27250000000000002</v>
      </c>
      <c r="E39" s="82">
        <f t="shared" ref="E39:AD39" si="16">+IF(E6&lt;&gt;0,(E35-E37)/E6,"")</f>
        <v>0.33466761675832823</v>
      </c>
      <c r="F39" s="82">
        <f t="shared" si="16"/>
        <v>0.50416992939697236</v>
      </c>
      <c r="G39" s="82">
        <f t="shared" si="16"/>
        <v>0.4503536519583628</v>
      </c>
      <c r="H39" s="82">
        <f t="shared" si="16"/>
        <v>0.39481911942808418</v>
      </c>
      <c r="I39" s="82">
        <f t="shared" si="16"/>
        <v>0.33621105289339792</v>
      </c>
      <c r="J39" s="82">
        <f t="shared" si="16"/>
        <v>0.27666723259980364</v>
      </c>
      <c r="K39" s="82">
        <f t="shared" si="16"/>
        <v>0.21472501797781487</v>
      </c>
      <c r="L39" s="82">
        <f t="shared" si="16"/>
        <v>0.15262515213658312</v>
      </c>
      <c r="M39" s="82">
        <f t="shared" si="16"/>
        <v>9.1659254550834263E-2</v>
      </c>
      <c r="N39" s="82">
        <f t="shared" si="16"/>
        <v>5.3035609504908612E-2</v>
      </c>
      <c r="O39" s="82">
        <f t="shared" si="16"/>
        <v>4.3226794954521919E-2</v>
      </c>
      <c r="P39" s="82">
        <f t="shared" si="16"/>
        <v>3.3575375876627539E-2</v>
      </c>
      <c r="Q39" s="82">
        <f t="shared" si="16"/>
        <v>2.4448913826374586E-2</v>
      </c>
      <c r="R39" s="82">
        <f t="shared" si="16"/>
        <v>1.5825058061922696E-2</v>
      </c>
      <c r="S39" s="82">
        <f t="shared" si="16"/>
        <v>7.6823115965349471E-3</v>
      </c>
      <c r="T39" s="82">
        <f t="shared" si="16"/>
        <v>0</v>
      </c>
      <c r="U39" s="82">
        <f t="shared" si="16"/>
        <v>0</v>
      </c>
      <c r="V39" s="82" t="str">
        <f t="shared" si="16"/>
        <v/>
      </c>
      <c r="W39" s="82" t="str">
        <f t="shared" si="16"/>
        <v/>
      </c>
      <c r="X39" s="82" t="str">
        <f t="shared" si="16"/>
        <v/>
      </c>
      <c r="Y39" s="82" t="str">
        <f t="shared" si="16"/>
        <v/>
      </c>
      <c r="Z39" s="82" t="str">
        <f t="shared" si="16"/>
        <v/>
      </c>
      <c r="AA39" s="82" t="str">
        <f t="shared" si="16"/>
        <v/>
      </c>
      <c r="AB39" s="82" t="str">
        <f t="shared" si="16"/>
        <v/>
      </c>
      <c r="AC39" s="82" t="str">
        <f t="shared" si="16"/>
        <v/>
      </c>
      <c r="AD39" s="82" t="str">
        <f t="shared" si="16"/>
        <v/>
      </c>
      <c r="AE39" s="82" t="str">
        <f t="shared" ref="AE39:AO39" si="17">+IF(AE6&lt;&gt;0,(AE35-AE37)/AE6,"")</f>
        <v/>
      </c>
      <c r="AF39" s="82" t="str">
        <f t="shared" si="17"/>
        <v/>
      </c>
      <c r="AG39" s="82" t="str">
        <f t="shared" si="17"/>
        <v/>
      </c>
      <c r="AH39" s="82" t="str">
        <f t="shared" si="17"/>
        <v/>
      </c>
      <c r="AI39" s="82" t="str">
        <f t="shared" si="17"/>
        <v/>
      </c>
      <c r="AJ39" s="82" t="str">
        <f t="shared" si="17"/>
        <v/>
      </c>
      <c r="AK39" s="82" t="str">
        <f t="shared" si="17"/>
        <v/>
      </c>
      <c r="AL39" s="82" t="str">
        <f t="shared" si="17"/>
        <v/>
      </c>
      <c r="AM39" s="82" t="str">
        <f t="shared" si="17"/>
        <v/>
      </c>
      <c r="AN39" s="82" t="str">
        <f t="shared" si="17"/>
        <v/>
      </c>
      <c r="AO39" s="82" t="str">
        <f t="shared" si="17"/>
        <v/>
      </c>
    </row>
    <row r="40" spans="1:246" ht="24">
      <c r="A40" s="76" t="s">
        <v>17</v>
      </c>
      <c r="B40" s="81" t="s">
        <v>72</v>
      </c>
      <c r="C40" s="82">
        <f>+Zal_1_WPF_wg_przeplywow!C48</f>
        <v>5.4800000000000001E-2</v>
      </c>
      <c r="D40" s="82">
        <f>+Zal_1_WPF_wg_przeplywow!D48</f>
        <v>6.3299999999999995E-2</v>
      </c>
      <c r="E40" s="82">
        <f t="shared" ref="E40:AD40" si="18">+IF(E6&lt;&gt;0,(E19+E16+E32)/E6,"")</f>
        <v>7.713611870051669E-2</v>
      </c>
      <c r="F40" s="82">
        <f t="shared" si="18"/>
        <v>8.451965046632888E-2</v>
      </c>
      <c r="G40" s="82">
        <f t="shared" si="18"/>
        <v>7.177581569157758E-2</v>
      </c>
      <c r="H40" s="82">
        <f t="shared" si="18"/>
        <v>6.8504556236682904E-2</v>
      </c>
      <c r="I40" s="82">
        <f t="shared" si="18"/>
        <v>6.3041274161624111E-2</v>
      </c>
      <c r="J40" s="82">
        <f t="shared" si="18"/>
        <v>6.5835411461841978E-2</v>
      </c>
      <c r="K40" s="82">
        <f t="shared" si="18"/>
        <v>6.5134068286806679E-2</v>
      </c>
      <c r="L40" s="82">
        <f t="shared" si="18"/>
        <v>6.4712223823054221E-2</v>
      </c>
      <c r="M40" s="82">
        <f t="shared" si="18"/>
        <v>6.1662833401669274E-2</v>
      </c>
      <c r="N40" s="82">
        <f t="shared" si="18"/>
        <v>3.7804883338552649E-2</v>
      </c>
      <c r="O40" s="82">
        <f t="shared" si="18"/>
        <v>8.9047186965114811E-3</v>
      </c>
      <c r="P40" s="82">
        <f t="shared" si="18"/>
        <v>8.603689906744396E-3</v>
      </c>
      <c r="Q40" s="82">
        <f t="shared" si="18"/>
        <v>8.3126313623298094E-3</v>
      </c>
      <c r="R40" s="82">
        <f t="shared" si="18"/>
        <v>8.0312161528075989E-3</v>
      </c>
      <c r="S40" s="82">
        <f t="shared" si="18"/>
        <v>7.7591343656044356E-3</v>
      </c>
      <c r="T40" s="82">
        <f t="shared" si="18"/>
        <v>7.5333734133099829E-3</v>
      </c>
      <c r="U40" s="82">
        <f t="shared" si="18"/>
        <v>0</v>
      </c>
      <c r="V40" s="82" t="str">
        <f t="shared" si="18"/>
        <v/>
      </c>
      <c r="W40" s="82" t="str">
        <f t="shared" si="18"/>
        <v/>
      </c>
      <c r="X40" s="82" t="str">
        <f t="shared" si="18"/>
        <v/>
      </c>
      <c r="Y40" s="82" t="str">
        <f t="shared" si="18"/>
        <v/>
      </c>
      <c r="Z40" s="82" t="str">
        <f t="shared" si="18"/>
        <v/>
      </c>
      <c r="AA40" s="82" t="str">
        <f t="shared" si="18"/>
        <v/>
      </c>
      <c r="AB40" s="82" t="str">
        <f t="shared" si="18"/>
        <v/>
      </c>
      <c r="AC40" s="82" t="str">
        <f t="shared" si="18"/>
        <v/>
      </c>
      <c r="AD40" s="82" t="str">
        <f t="shared" si="18"/>
        <v/>
      </c>
      <c r="AE40" s="82" t="str">
        <f t="shared" ref="AE40:AO40" si="19">+IF(AE6&lt;&gt;0,(AE19+AE16+AE32)/AE6,"")</f>
        <v/>
      </c>
      <c r="AF40" s="82" t="str">
        <f t="shared" si="19"/>
        <v/>
      </c>
      <c r="AG40" s="82" t="str">
        <f t="shared" si="19"/>
        <v/>
      </c>
      <c r="AH40" s="82" t="str">
        <f t="shared" si="19"/>
        <v/>
      </c>
      <c r="AI40" s="82" t="str">
        <f t="shared" si="19"/>
        <v/>
      </c>
      <c r="AJ40" s="82" t="str">
        <f t="shared" si="19"/>
        <v/>
      </c>
      <c r="AK40" s="82" t="str">
        <f t="shared" si="19"/>
        <v/>
      </c>
      <c r="AL40" s="82" t="str">
        <f t="shared" si="19"/>
        <v/>
      </c>
      <c r="AM40" s="82" t="str">
        <f t="shared" si="19"/>
        <v/>
      </c>
      <c r="AN40" s="82" t="str">
        <f t="shared" si="19"/>
        <v/>
      </c>
      <c r="AO40" s="82" t="str">
        <f t="shared" si="19"/>
        <v/>
      </c>
    </row>
    <row r="41" spans="1:246" ht="24">
      <c r="A41" s="89" t="s">
        <v>73</v>
      </c>
      <c r="B41" s="93" t="s">
        <v>74</v>
      </c>
      <c r="C41" s="94">
        <f>+Zal_1_WPF_wg_przeplywow!C49</f>
        <v>5.4300000000000001E-2</v>
      </c>
      <c r="D41" s="94">
        <f>+Zal_1_WPF_wg_przeplywow!D49</f>
        <v>6.0900000000000003E-2</v>
      </c>
      <c r="E41" s="94">
        <f t="shared" ref="E41:AD41" si="20">+IF(E6&lt;&gt;0,(E19+E16+E32-E17-E33)/E6,"")</f>
        <v>7.44664363141323E-2</v>
      </c>
      <c r="F41" s="94">
        <f t="shared" si="20"/>
        <v>8.451965046632888E-2</v>
      </c>
      <c r="G41" s="94">
        <f t="shared" si="20"/>
        <v>7.177581569157758E-2</v>
      </c>
      <c r="H41" s="94">
        <f t="shared" si="20"/>
        <v>6.8504556236682904E-2</v>
      </c>
      <c r="I41" s="94">
        <f t="shared" si="20"/>
        <v>6.3041274161624111E-2</v>
      </c>
      <c r="J41" s="94">
        <f t="shared" si="20"/>
        <v>6.5835411461841978E-2</v>
      </c>
      <c r="K41" s="94">
        <f t="shared" si="20"/>
        <v>6.5134068286806679E-2</v>
      </c>
      <c r="L41" s="94">
        <f t="shared" si="20"/>
        <v>6.4712223823054221E-2</v>
      </c>
      <c r="M41" s="94">
        <f t="shared" si="20"/>
        <v>6.1662833401669274E-2</v>
      </c>
      <c r="N41" s="94">
        <f t="shared" si="20"/>
        <v>3.7804883338552649E-2</v>
      </c>
      <c r="O41" s="94">
        <f t="shared" si="20"/>
        <v>8.9047186965114811E-3</v>
      </c>
      <c r="P41" s="94">
        <f t="shared" si="20"/>
        <v>8.603689906744396E-3</v>
      </c>
      <c r="Q41" s="94">
        <f t="shared" si="20"/>
        <v>8.3126313623298094E-3</v>
      </c>
      <c r="R41" s="94">
        <f t="shared" si="20"/>
        <v>8.0312161528075989E-3</v>
      </c>
      <c r="S41" s="94">
        <f t="shared" si="20"/>
        <v>7.7591343656044356E-3</v>
      </c>
      <c r="T41" s="94">
        <f t="shared" si="20"/>
        <v>7.5333734133099829E-3</v>
      </c>
      <c r="U41" s="94">
        <f t="shared" si="20"/>
        <v>0</v>
      </c>
      <c r="V41" s="94" t="str">
        <f t="shared" si="20"/>
        <v/>
      </c>
      <c r="W41" s="94" t="str">
        <f t="shared" si="20"/>
        <v/>
      </c>
      <c r="X41" s="94" t="str">
        <f t="shared" si="20"/>
        <v/>
      </c>
      <c r="Y41" s="94" t="str">
        <f t="shared" si="20"/>
        <v/>
      </c>
      <c r="Z41" s="94" t="str">
        <f t="shared" si="20"/>
        <v/>
      </c>
      <c r="AA41" s="94" t="str">
        <f t="shared" si="20"/>
        <v/>
      </c>
      <c r="AB41" s="94" t="str">
        <f t="shared" si="20"/>
        <v/>
      </c>
      <c r="AC41" s="94" t="str">
        <f t="shared" si="20"/>
        <v/>
      </c>
      <c r="AD41" s="94" t="str">
        <f t="shared" si="20"/>
        <v/>
      </c>
      <c r="AE41" s="94" t="str">
        <f t="shared" ref="AE41:AO41" si="21">+IF(AE6&lt;&gt;0,(AE19+AE16+AE32-AE17-AE33)/AE6,"")</f>
        <v/>
      </c>
      <c r="AF41" s="94" t="str">
        <f t="shared" si="21"/>
        <v/>
      </c>
      <c r="AG41" s="94" t="str">
        <f t="shared" si="21"/>
        <v/>
      </c>
      <c r="AH41" s="94" t="str">
        <f t="shared" si="21"/>
        <v/>
      </c>
      <c r="AI41" s="94" t="str">
        <f t="shared" si="21"/>
        <v/>
      </c>
      <c r="AJ41" s="94" t="str">
        <f t="shared" si="21"/>
        <v/>
      </c>
      <c r="AK41" s="94" t="str">
        <f t="shared" si="21"/>
        <v/>
      </c>
      <c r="AL41" s="94" t="str">
        <f t="shared" si="21"/>
        <v/>
      </c>
      <c r="AM41" s="94" t="str">
        <f t="shared" si="21"/>
        <v/>
      </c>
      <c r="AN41" s="94" t="str">
        <f t="shared" si="21"/>
        <v/>
      </c>
      <c r="AO41" s="94" t="str">
        <f t="shared" si="21"/>
        <v/>
      </c>
    </row>
    <row r="42" spans="1:246" ht="36">
      <c r="A42" s="62" t="s">
        <v>19</v>
      </c>
      <c r="B42" s="63" t="s">
        <v>167</v>
      </c>
      <c r="C42" s="58">
        <f>+Zal_1_WPF_wg_przeplywow!C42</f>
        <v>0</v>
      </c>
      <c r="D42" s="58">
        <f>+Zal_1_WPF_wg_przeplywow!D42</f>
        <v>0</v>
      </c>
      <c r="E42" s="58">
        <f>+Zal_1_WPF_wg_przeplywow!E42</f>
        <v>0</v>
      </c>
      <c r="F42" s="58">
        <f>+Zal_1_WPF_wg_przeplywow!F42</f>
        <v>0</v>
      </c>
      <c r="G42" s="58">
        <f>+Zal_1_WPF_wg_przeplywow!G42</f>
        <v>0</v>
      </c>
      <c r="H42" s="58">
        <f>+Zal_1_WPF_wg_przeplywow!H42</f>
        <v>0</v>
      </c>
      <c r="I42" s="58">
        <f>+Zal_1_WPF_wg_przeplywow!I42</f>
        <v>0</v>
      </c>
      <c r="J42" s="58">
        <f>+Zal_1_WPF_wg_przeplywow!J42</f>
        <v>0</v>
      </c>
      <c r="K42" s="58">
        <f>+Zal_1_WPF_wg_przeplywow!K42</f>
        <v>0</v>
      </c>
      <c r="L42" s="58">
        <f>+Zal_1_WPF_wg_przeplywow!L42</f>
        <v>0</v>
      </c>
      <c r="M42" s="58">
        <f>+Zal_1_WPF_wg_przeplywow!M42</f>
        <v>0</v>
      </c>
      <c r="N42" s="58">
        <f>+Zal_1_WPF_wg_przeplywow!N42</f>
        <v>0</v>
      </c>
      <c r="O42" s="58">
        <f>+Zal_1_WPF_wg_przeplywow!O42</f>
        <v>0</v>
      </c>
      <c r="P42" s="58">
        <f>+Zal_1_WPF_wg_przeplywow!P42</f>
        <v>0</v>
      </c>
      <c r="Q42" s="58">
        <f>+Zal_1_WPF_wg_przeplywow!Q42</f>
        <v>0</v>
      </c>
      <c r="R42" s="58">
        <f>+Zal_1_WPF_wg_przeplywow!R42</f>
        <v>0</v>
      </c>
      <c r="S42" s="58">
        <f>+Zal_1_WPF_wg_przeplywow!S42</f>
        <v>0</v>
      </c>
      <c r="T42" s="58">
        <f>+Zal_1_WPF_wg_przeplywow!T42</f>
        <v>0</v>
      </c>
      <c r="U42" s="58">
        <f>+Zal_1_WPF_wg_przeplywow!U42</f>
        <v>0</v>
      </c>
      <c r="V42" s="58">
        <f>+Zal_1_WPF_wg_przeplywow!V42</f>
        <v>0</v>
      </c>
      <c r="W42" s="58">
        <f>+Zal_1_WPF_wg_przeplywow!W42</f>
        <v>0</v>
      </c>
      <c r="X42" s="58">
        <f>+Zal_1_WPF_wg_przeplywow!X42</f>
        <v>0</v>
      </c>
      <c r="Y42" s="58">
        <f>+Zal_1_WPF_wg_przeplywow!Y42</f>
        <v>0</v>
      </c>
      <c r="Z42" s="58">
        <f>+Zal_1_WPF_wg_przeplywow!Z42</f>
        <v>0</v>
      </c>
      <c r="AA42" s="58">
        <f>+Zal_1_WPF_wg_przeplywow!AA42</f>
        <v>0</v>
      </c>
      <c r="AB42" s="58">
        <f>+Zal_1_WPF_wg_przeplywow!AB42</f>
        <v>0</v>
      </c>
      <c r="AC42" s="58">
        <f>+Zal_1_WPF_wg_przeplywow!AC42</f>
        <v>0</v>
      </c>
      <c r="AD42" s="58">
        <f>+Zal_1_WPF_wg_przeplywow!AD42</f>
        <v>0</v>
      </c>
      <c r="AE42" s="58">
        <f>+Zal_1_WPF_wg_przeplywow!AE42</f>
        <v>0</v>
      </c>
      <c r="AF42" s="58">
        <f>+Zal_1_WPF_wg_przeplywow!AF42</f>
        <v>0</v>
      </c>
      <c r="AG42" s="58">
        <f>+Zal_1_WPF_wg_przeplywow!AG42</f>
        <v>0</v>
      </c>
      <c r="AH42" s="58">
        <f>+Zal_1_WPF_wg_przeplywow!AH42</f>
        <v>0</v>
      </c>
      <c r="AI42" s="58">
        <f>+Zal_1_WPF_wg_przeplywow!AI42</f>
        <v>0</v>
      </c>
      <c r="AJ42" s="58">
        <f>+Zal_1_WPF_wg_przeplywow!AJ42</f>
        <v>0</v>
      </c>
      <c r="AK42" s="58">
        <f>+Zal_1_WPF_wg_przeplywow!AK42</f>
        <v>0</v>
      </c>
      <c r="AL42" s="58">
        <f>+Zal_1_WPF_wg_przeplywow!AL42</f>
        <v>0</v>
      </c>
      <c r="AM42" s="58">
        <f>+Zal_1_WPF_wg_przeplywow!AM42</f>
        <v>0</v>
      </c>
      <c r="AN42" s="58">
        <f>+Zal_1_WPF_wg_przeplywow!AN42</f>
        <v>0</v>
      </c>
      <c r="AO42" s="58">
        <f>+Zal_1_WPF_wg_przeplywow!AO42</f>
        <v>0</v>
      </c>
    </row>
    <row r="43" spans="1:246">
      <c r="A43" s="68" t="s">
        <v>20</v>
      </c>
      <c r="B43" s="91" t="s">
        <v>53</v>
      </c>
      <c r="C43" s="92">
        <f>+Zal_1_WPF_wg_przeplywow!C51</f>
        <v>6.8000000000000005E-2</v>
      </c>
      <c r="D43" s="92">
        <f>+Zal_1_WPF_wg_przeplywow!D51</f>
        <v>6.7599999999999993E-2</v>
      </c>
      <c r="E43" s="92">
        <f>+Zal_1_WPF_wg_przeplywow!E51</f>
        <v>7.7200000000000005E-2</v>
      </c>
      <c r="F43" s="92">
        <f>+Zal_1_WPF_wg_przeplywow!F51</f>
        <v>8.5500000000000007E-2</v>
      </c>
      <c r="G43" s="92">
        <f>+Zal_1_WPF_wg_przeplywow!G51</f>
        <v>7.6399999999999996E-2</v>
      </c>
      <c r="H43" s="92">
        <f>+Zal_1_WPF_wg_przeplywow!H51</f>
        <v>6.9699999999999998E-2</v>
      </c>
      <c r="I43" s="92">
        <f>+Zal_1_WPF_wg_przeplywow!I51</f>
        <v>6.6799999999999998E-2</v>
      </c>
      <c r="J43" s="92">
        <f>+Zal_1_WPF_wg_przeplywow!J51</f>
        <v>6.8400000000000002E-2</v>
      </c>
      <c r="K43" s="92">
        <f>+Zal_1_WPF_wg_przeplywow!K51</f>
        <v>6.6500000000000004E-2</v>
      </c>
      <c r="L43" s="92">
        <f>+Zal_1_WPF_wg_przeplywow!L51</f>
        <v>6.7100000000000007E-2</v>
      </c>
      <c r="M43" s="92">
        <f>+Zal_1_WPF_wg_przeplywow!M51</f>
        <v>6.4199999999999993E-2</v>
      </c>
      <c r="N43" s="92">
        <f>+Zal_1_WPF_wg_przeplywow!N51</f>
        <v>6.3500000000000001E-2</v>
      </c>
      <c r="O43" s="92">
        <f>+Zal_1_WPF_wg_przeplywow!O51</f>
        <v>6.4000000000000001E-2</v>
      </c>
      <c r="P43" s="92">
        <f>+Zal_1_WPF_wg_przeplywow!P51</f>
        <v>6.3600000000000004E-2</v>
      </c>
      <c r="Q43" s="92">
        <f>+Zal_1_WPF_wg_przeplywow!Q51</f>
        <v>6.3100000000000003E-2</v>
      </c>
      <c r="R43" s="92">
        <f>+Zal_1_WPF_wg_przeplywow!R51</f>
        <v>6.1400000000000003E-2</v>
      </c>
      <c r="S43" s="92">
        <f>+Zal_1_WPF_wg_przeplywow!S51</f>
        <v>6.1400000000000003E-2</v>
      </c>
      <c r="T43" s="92">
        <f>+Zal_1_WPF_wg_przeplywow!T51</f>
        <v>6.1400000000000003E-2</v>
      </c>
      <c r="U43" s="92">
        <f>+Zal_1_WPF_wg_przeplywow!U51</f>
        <v>6.1400000000000003E-2</v>
      </c>
      <c r="V43" s="92">
        <f>+Zal_1_WPF_wg_przeplywow!V51</f>
        <v>0</v>
      </c>
      <c r="W43" s="92">
        <f>+Zal_1_WPF_wg_przeplywow!W51</f>
        <v>0</v>
      </c>
      <c r="X43" s="92">
        <f>+Zal_1_WPF_wg_przeplywow!X51</f>
        <v>0</v>
      </c>
      <c r="Y43" s="92">
        <f>+Zal_1_WPF_wg_przeplywow!Y51</f>
        <v>0</v>
      </c>
      <c r="Z43" s="92">
        <f>+Zal_1_WPF_wg_przeplywow!Z51</f>
        <v>0</v>
      </c>
      <c r="AA43" s="92">
        <f>+Zal_1_WPF_wg_przeplywow!AA51</f>
        <v>0</v>
      </c>
      <c r="AB43" s="92">
        <f>+Zal_1_WPF_wg_przeplywow!AB51</f>
        <v>0</v>
      </c>
      <c r="AC43" s="92">
        <f>+Zal_1_WPF_wg_przeplywow!AC51</f>
        <v>0</v>
      </c>
      <c r="AD43" s="92">
        <f>+Zal_1_WPF_wg_przeplywow!AD51</f>
        <v>0</v>
      </c>
      <c r="AE43" s="92">
        <f>+Zal_1_WPF_wg_przeplywow!AE51</f>
        <v>0</v>
      </c>
      <c r="AF43" s="92">
        <f>+Zal_1_WPF_wg_przeplywow!AF51</f>
        <v>0</v>
      </c>
      <c r="AG43" s="92">
        <f>+Zal_1_WPF_wg_przeplywow!AG51</f>
        <v>0</v>
      </c>
      <c r="AH43" s="92">
        <f>+Zal_1_WPF_wg_przeplywow!AH51</f>
        <v>0</v>
      </c>
      <c r="AI43" s="92">
        <f>+Zal_1_WPF_wg_przeplywow!AI51</f>
        <v>0</v>
      </c>
      <c r="AJ43" s="92">
        <f>+Zal_1_WPF_wg_przeplywow!AJ51</f>
        <v>0</v>
      </c>
      <c r="AK43" s="92">
        <f>+Zal_1_WPF_wg_przeplywow!AK51</f>
        <v>0</v>
      </c>
      <c r="AL43" s="92">
        <f>+Zal_1_WPF_wg_przeplywow!AL51</f>
        <v>0</v>
      </c>
      <c r="AM43" s="92">
        <f>+Zal_1_WPF_wg_przeplywow!AM51</f>
        <v>0</v>
      </c>
      <c r="AN43" s="92">
        <f>+Zal_1_WPF_wg_przeplywow!AN51</f>
        <v>0</v>
      </c>
      <c r="AO43" s="92">
        <f>+Zal_1_WPF_wg_przeplywow!AO51</f>
        <v>0</v>
      </c>
    </row>
    <row r="44" spans="1:246">
      <c r="A44" s="76"/>
      <c r="B44" s="83" t="s">
        <v>55</v>
      </c>
      <c r="C44" s="82">
        <f>+Zal_1_WPF_wg_przeplywow!C50</f>
        <v>9.35E-2</v>
      </c>
      <c r="D44" s="82">
        <f>+Zal_1_WPF_wg_przeplywow!D50</f>
        <v>9.1200000000000003E-2</v>
      </c>
      <c r="E44" s="82">
        <f>+Zal_1_WPF_wg_przeplywow!E50</f>
        <v>7.1800000000000003E-2</v>
      </c>
      <c r="F44" s="82">
        <f>+Zal_1_WPF_wg_przeplywow!F50</f>
        <v>6.6299999999999998E-2</v>
      </c>
      <c r="G44" s="82">
        <f>+Zal_1_WPF_wg_przeplywow!G50</f>
        <v>7.0900000000000005E-2</v>
      </c>
      <c r="H44" s="82">
        <f>+Zal_1_WPF_wg_przeplywow!H50</f>
        <v>6.3299999999999995E-2</v>
      </c>
      <c r="I44" s="82">
        <f>+Zal_1_WPF_wg_przeplywow!I50</f>
        <v>7.0999999999999994E-2</v>
      </c>
      <c r="J44" s="82">
        <f>+Zal_1_WPF_wg_przeplywow!J50</f>
        <v>6.5199999999999994E-2</v>
      </c>
      <c r="K44" s="82">
        <f>+Zal_1_WPF_wg_przeplywow!K50</f>
        <v>6.5000000000000002E-2</v>
      </c>
      <c r="L44" s="82">
        <f>+Zal_1_WPF_wg_przeplywow!L50</f>
        <v>6.25E-2</v>
      </c>
      <c r="M44" s="82">
        <f>+Zal_1_WPF_wg_przeplywow!M50</f>
        <v>6.2899999999999998E-2</v>
      </c>
      <c r="N44" s="82">
        <f>+Zal_1_WPF_wg_przeplywow!N50</f>
        <v>6.6600000000000006E-2</v>
      </c>
      <c r="O44" s="82">
        <f>+Zal_1_WPF_wg_przeplywow!O50</f>
        <v>6.1400000000000003E-2</v>
      </c>
      <c r="P44" s="82">
        <f>+Zal_1_WPF_wg_przeplywow!P50</f>
        <v>6.1400000000000003E-2</v>
      </c>
      <c r="Q44" s="82">
        <f>+Zal_1_WPF_wg_przeplywow!Q50</f>
        <v>6.1400000000000003E-2</v>
      </c>
      <c r="R44" s="82">
        <f>+Zal_1_WPF_wg_przeplywow!R50</f>
        <v>6.1400000000000003E-2</v>
      </c>
      <c r="S44" s="82">
        <f>+Zal_1_WPF_wg_przeplywow!S50</f>
        <v>6.1400000000000003E-2</v>
      </c>
      <c r="T44" s="82">
        <f>+Zal_1_WPF_wg_przeplywow!T50</f>
        <v>6.1400000000000003E-2</v>
      </c>
      <c r="U44" s="82">
        <f>+Zal_1_WPF_wg_przeplywow!U50</f>
        <v>6.1499999999999999E-2</v>
      </c>
      <c r="V44" s="82">
        <f>+Zal_1_WPF_wg_przeplywow!V50</f>
        <v>0</v>
      </c>
      <c r="W44" s="82">
        <f>+Zal_1_WPF_wg_przeplywow!W50</f>
        <v>0</v>
      </c>
      <c r="X44" s="82">
        <f>+Zal_1_WPF_wg_przeplywow!X50</f>
        <v>0</v>
      </c>
      <c r="Y44" s="82">
        <f>+Zal_1_WPF_wg_przeplywow!Y50</f>
        <v>0</v>
      </c>
      <c r="Z44" s="82">
        <f>+Zal_1_WPF_wg_przeplywow!Z50</f>
        <v>0</v>
      </c>
      <c r="AA44" s="82">
        <f>+Zal_1_WPF_wg_przeplywow!AA50</f>
        <v>0</v>
      </c>
      <c r="AB44" s="82">
        <f>+Zal_1_WPF_wg_przeplywow!AB50</f>
        <v>0</v>
      </c>
      <c r="AC44" s="82">
        <f>+Zal_1_WPF_wg_przeplywow!AC50</f>
        <v>0</v>
      </c>
      <c r="AD44" s="82">
        <f>+Zal_1_WPF_wg_przeplywow!AD50</f>
        <v>0</v>
      </c>
      <c r="AE44" s="82">
        <f>+Zal_1_WPF_wg_przeplywow!AE50</f>
        <v>0</v>
      </c>
      <c r="AF44" s="82">
        <f>+Zal_1_WPF_wg_przeplywow!AF50</f>
        <v>0</v>
      </c>
      <c r="AG44" s="82">
        <f>+Zal_1_WPF_wg_przeplywow!AG50</f>
        <v>0</v>
      </c>
      <c r="AH44" s="82">
        <f>+Zal_1_WPF_wg_przeplywow!AH50</f>
        <v>0</v>
      </c>
      <c r="AI44" s="82">
        <f>+Zal_1_WPF_wg_przeplywow!AI50</f>
        <v>0</v>
      </c>
      <c r="AJ44" s="82">
        <f>+Zal_1_WPF_wg_przeplywow!AJ50</f>
        <v>0</v>
      </c>
      <c r="AK44" s="82">
        <f>+Zal_1_WPF_wg_przeplywow!AK50</f>
        <v>0</v>
      </c>
      <c r="AL44" s="82">
        <f>+Zal_1_WPF_wg_przeplywow!AL50</f>
        <v>0</v>
      </c>
      <c r="AM44" s="82">
        <f>+Zal_1_WPF_wg_przeplywow!AM50</f>
        <v>0</v>
      </c>
      <c r="AN44" s="82">
        <f>+Zal_1_WPF_wg_przeplywow!AN50</f>
        <v>0</v>
      </c>
      <c r="AO44" s="82">
        <f>+Zal_1_WPF_wg_przeplywow!AO50</f>
        <v>0</v>
      </c>
    </row>
    <row r="45" spans="1:246" ht="24">
      <c r="A45" s="76" t="s">
        <v>21</v>
      </c>
      <c r="B45" s="81" t="s">
        <v>54</v>
      </c>
      <c r="C45" s="82">
        <f>+Zal_1_WPF_wg_przeplywow!C52</f>
        <v>5.4800000000000001E-2</v>
      </c>
      <c r="D45" s="82">
        <f>+Zal_1_WPF_wg_przeplywow!D52</f>
        <v>6.3299999999999995E-2</v>
      </c>
      <c r="E45" s="82">
        <f>+Zal_1_WPF_wg_przeplywow!E52</f>
        <v>7.7100000000000002E-2</v>
      </c>
      <c r="F45" s="82">
        <f>+Zal_1_WPF_wg_przeplywow!F52</f>
        <v>8.4500000000000006E-2</v>
      </c>
      <c r="G45" s="82">
        <f>+Zal_1_WPF_wg_przeplywow!G52</f>
        <v>7.1800000000000003E-2</v>
      </c>
      <c r="H45" s="82">
        <f>+Zal_1_WPF_wg_przeplywow!H52</f>
        <v>6.8500000000000005E-2</v>
      </c>
      <c r="I45" s="82">
        <f>+Zal_1_WPF_wg_przeplywow!I52</f>
        <v>6.3E-2</v>
      </c>
      <c r="J45" s="82">
        <f>+Zal_1_WPF_wg_przeplywow!J52</f>
        <v>6.5799999999999997E-2</v>
      </c>
      <c r="K45" s="82">
        <f>+Zal_1_WPF_wg_przeplywow!K52</f>
        <v>6.5100000000000005E-2</v>
      </c>
      <c r="L45" s="82">
        <f>+Zal_1_WPF_wg_przeplywow!L52</f>
        <v>6.4699999999999994E-2</v>
      </c>
      <c r="M45" s="82">
        <f>+Zal_1_WPF_wg_przeplywow!M52</f>
        <v>6.1699999999999998E-2</v>
      </c>
      <c r="N45" s="82">
        <f>+Zal_1_WPF_wg_przeplywow!N52</f>
        <v>3.78E-2</v>
      </c>
      <c r="O45" s="82">
        <f>+Zal_1_WPF_wg_przeplywow!O52</f>
        <v>8.8999999999999999E-3</v>
      </c>
      <c r="P45" s="82">
        <f>+Zal_1_WPF_wg_przeplywow!P52</f>
        <v>8.6E-3</v>
      </c>
      <c r="Q45" s="82">
        <f>+Zal_1_WPF_wg_przeplywow!Q52</f>
        <v>8.3000000000000001E-3</v>
      </c>
      <c r="R45" s="82">
        <f>+Zal_1_WPF_wg_przeplywow!R52</f>
        <v>8.0000000000000002E-3</v>
      </c>
      <c r="S45" s="82">
        <f>+Zal_1_WPF_wg_przeplywow!S52</f>
        <v>7.7999999999999996E-3</v>
      </c>
      <c r="T45" s="82">
        <f>+Zal_1_WPF_wg_przeplywow!T52</f>
        <v>7.4999999999999997E-3</v>
      </c>
      <c r="U45" s="82">
        <f>+Zal_1_WPF_wg_przeplywow!U52</f>
        <v>0</v>
      </c>
      <c r="V45" s="82">
        <f>+Zal_1_WPF_wg_przeplywow!V52</f>
        <v>0</v>
      </c>
      <c r="W45" s="82">
        <f>+Zal_1_WPF_wg_przeplywow!W52</f>
        <v>0</v>
      </c>
      <c r="X45" s="82">
        <f>+Zal_1_WPF_wg_przeplywow!X52</f>
        <v>0</v>
      </c>
      <c r="Y45" s="82">
        <f>+Zal_1_WPF_wg_przeplywow!Y52</f>
        <v>0</v>
      </c>
      <c r="Z45" s="82">
        <f>+Zal_1_WPF_wg_przeplywow!Z52</f>
        <v>0</v>
      </c>
      <c r="AA45" s="82">
        <f>+Zal_1_WPF_wg_przeplywow!AA52</f>
        <v>0</v>
      </c>
      <c r="AB45" s="82">
        <f>+Zal_1_WPF_wg_przeplywow!AB52</f>
        <v>0</v>
      </c>
      <c r="AC45" s="82">
        <f>+Zal_1_WPF_wg_przeplywow!AC52</f>
        <v>0</v>
      </c>
      <c r="AD45" s="82">
        <f>+Zal_1_WPF_wg_przeplywow!AD52</f>
        <v>0</v>
      </c>
      <c r="AE45" s="82">
        <f>+Zal_1_WPF_wg_przeplywow!AE52</f>
        <v>0</v>
      </c>
      <c r="AF45" s="82">
        <f>+Zal_1_WPF_wg_przeplywow!AF52</f>
        <v>0</v>
      </c>
      <c r="AG45" s="82">
        <f>+Zal_1_WPF_wg_przeplywow!AG52</f>
        <v>0</v>
      </c>
      <c r="AH45" s="82">
        <f>+Zal_1_WPF_wg_przeplywow!AH52</f>
        <v>0</v>
      </c>
      <c r="AI45" s="82">
        <f>+Zal_1_WPF_wg_przeplywow!AI52</f>
        <v>0</v>
      </c>
      <c r="AJ45" s="82">
        <f>+Zal_1_WPF_wg_przeplywow!AJ52</f>
        <v>0</v>
      </c>
      <c r="AK45" s="82">
        <f>+Zal_1_WPF_wg_przeplywow!AK52</f>
        <v>0</v>
      </c>
      <c r="AL45" s="82">
        <f>+Zal_1_WPF_wg_przeplywow!AL52</f>
        <v>0</v>
      </c>
      <c r="AM45" s="82">
        <f>+Zal_1_WPF_wg_przeplywow!AM52</f>
        <v>0</v>
      </c>
      <c r="AN45" s="82">
        <f>+Zal_1_WPF_wg_przeplywow!AN52</f>
        <v>0</v>
      </c>
      <c r="AO45" s="82">
        <f>+Zal_1_WPF_wg_przeplywow!AO52</f>
        <v>0</v>
      </c>
    </row>
    <row r="46" spans="1:246" ht="24">
      <c r="A46" s="76" t="s">
        <v>75</v>
      </c>
      <c r="B46" s="81" t="s">
        <v>76</v>
      </c>
      <c r="C46" s="84" t="str">
        <f>IF(C45&lt;=C$43,"Spełnia  art. 243","Nie spełnia art. 243")</f>
        <v>Spełnia  art. 243</v>
      </c>
      <c r="D46" s="84" t="str">
        <f t="shared" ref="D46:AD46" si="22">IF(D45&lt;=D$43,"Spełnia  art. 243","Nie spełnia art. 243")</f>
        <v>Spełnia  art. 243</v>
      </c>
      <c r="E46" s="84" t="str">
        <f t="shared" si="22"/>
        <v>Spełnia  art. 243</v>
      </c>
      <c r="F46" s="84" t="str">
        <f t="shared" si="22"/>
        <v>Spełnia  art. 243</v>
      </c>
      <c r="G46" s="84" t="str">
        <f t="shared" si="22"/>
        <v>Spełnia  art. 243</v>
      </c>
      <c r="H46" s="84" t="str">
        <f t="shared" si="22"/>
        <v>Spełnia  art. 243</v>
      </c>
      <c r="I46" s="84" t="str">
        <f t="shared" si="22"/>
        <v>Spełnia  art. 243</v>
      </c>
      <c r="J46" s="84" t="str">
        <f t="shared" si="22"/>
        <v>Spełnia  art. 243</v>
      </c>
      <c r="K46" s="84" t="str">
        <f t="shared" si="22"/>
        <v>Spełnia  art. 243</v>
      </c>
      <c r="L46" s="84" t="str">
        <f t="shared" si="22"/>
        <v>Spełnia  art. 243</v>
      </c>
      <c r="M46" s="84" t="str">
        <f t="shared" si="22"/>
        <v>Spełnia  art. 243</v>
      </c>
      <c r="N46" s="84" t="str">
        <f t="shared" si="22"/>
        <v>Spełnia  art. 243</v>
      </c>
      <c r="O46" s="84" t="str">
        <f t="shared" si="22"/>
        <v>Spełnia  art. 243</v>
      </c>
      <c r="P46" s="84" t="str">
        <f t="shared" si="22"/>
        <v>Spełnia  art. 243</v>
      </c>
      <c r="Q46" s="84" t="str">
        <f t="shared" si="22"/>
        <v>Spełnia  art. 243</v>
      </c>
      <c r="R46" s="84" t="str">
        <f t="shared" si="22"/>
        <v>Spełnia  art. 243</v>
      </c>
      <c r="S46" s="84" t="str">
        <f t="shared" si="22"/>
        <v>Spełnia  art. 243</v>
      </c>
      <c r="T46" s="84" t="str">
        <f t="shared" si="22"/>
        <v>Spełnia  art. 243</v>
      </c>
      <c r="U46" s="84" t="str">
        <f t="shared" si="22"/>
        <v>Spełnia  art. 243</v>
      </c>
      <c r="V46" s="84" t="str">
        <f t="shared" si="22"/>
        <v>Spełnia  art. 243</v>
      </c>
      <c r="W46" s="84" t="str">
        <f t="shared" si="22"/>
        <v>Spełnia  art. 243</v>
      </c>
      <c r="X46" s="84" t="str">
        <f t="shared" si="22"/>
        <v>Spełnia  art. 243</v>
      </c>
      <c r="Y46" s="84" t="str">
        <f t="shared" si="22"/>
        <v>Spełnia  art. 243</v>
      </c>
      <c r="Z46" s="84" t="str">
        <f t="shared" si="22"/>
        <v>Spełnia  art. 243</v>
      </c>
      <c r="AA46" s="84" t="str">
        <f t="shared" si="22"/>
        <v>Spełnia  art. 243</v>
      </c>
      <c r="AB46" s="84" t="str">
        <f t="shared" si="22"/>
        <v>Spełnia  art. 243</v>
      </c>
      <c r="AC46" s="84" t="str">
        <f t="shared" si="22"/>
        <v>Spełnia  art. 243</v>
      </c>
      <c r="AD46" s="84" t="str">
        <f t="shared" si="22"/>
        <v>Spełnia  art. 243</v>
      </c>
      <c r="AE46" s="84" t="str">
        <f t="shared" ref="AE46:AO46" si="23">IF(AE45&lt;=AE$43,"Spełnia  art. 243","Nie spełnia art. 243")</f>
        <v>Spełnia  art. 243</v>
      </c>
      <c r="AF46" s="84" t="str">
        <f t="shared" si="23"/>
        <v>Spełnia  art. 243</v>
      </c>
      <c r="AG46" s="84" t="str">
        <f t="shared" si="23"/>
        <v>Spełnia  art. 243</v>
      </c>
      <c r="AH46" s="84" t="str">
        <f t="shared" si="23"/>
        <v>Spełnia  art. 243</v>
      </c>
      <c r="AI46" s="84" t="str">
        <f t="shared" si="23"/>
        <v>Spełnia  art. 243</v>
      </c>
      <c r="AJ46" s="84" t="str">
        <f t="shared" si="23"/>
        <v>Spełnia  art. 243</v>
      </c>
      <c r="AK46" s="84" t="str">
        <f t="shared" si="23"/>
        <v>Spełnia  art. 243</v>
      </c>
      <c r="AL46" s="84" t="str">
        <f t="shared" si="23"/>
        <v>Spełnia  art. 243</v>
      </c>
      <c r="AM46" s="84" t="str">
        <f t="shared" si="23"/>
        <v>Spełnia  art. 243</v>
      </c>
      <c r="AN46" s="84" t="str">
        <f t="shared" si="23"/>
        <v>Spełnia  art. 243</v>
      </c>
      <c r="AO46" s="84" t="str">
        <f t="shared" si="23"/>
        <v>Spełnia  art. 243</v>
      </c>
    </row>
    <row r="47" spans="1:246" ht="24">
      <c r="A47" s="76" t="s">
        <v>22</v>
      </c>
      <c r="B47" s="81" t="s">
        <v>77</v>
      </c>
      <c r="C47" s="82">
        <f>+Zal_1_WPF_wg_przeplywow!C54</f>
        <v>5.4300000000000001E-2</v>
      </c>
      <c r="D47" s="82">
        <f>+Zal_1_WPF_wg_przeplywow!D54</f>
        <v>6.0900000000000003E-2</v>
      </c>
      <c r="E47" s="82">
        <f>+Zal_1_WPF_wg_przeplywow!E54</f>
        <v>7.4499999999999997E-2</v>
      </c>
      <c r="F47" s="82">
        <f>+Zal_1_WPF_wg_przeplywow!F54</f>
        <v>8.4500000000000006E-2</v>
      </c>
      <c r="G47" s="82">
        <f>+Zal_1_WPF_wg_przeplywow!G54</f>
        <v>7.1800000000000003E-2</v>
      </c>
      <c r="H47" s="82">
        <f>+Zal_1_WPF_wg_przeplywow!H54</f>
        <v>6.8500000000000005E-2</v>
      </c>
      <c r="I47" s="82">
        <f>+Zal_1_WPF_wg_przeplywow!I54</f>
        <v>6.3E-2</v>
      </c>
      <c r="J47" s="82">
        <f>+Zal_1_WPF_wg_przeplywow!J54</f>
        <v>6.5799999999999997E-2</v>
      </c>
      <c r="K47" s="82">
        <f>+Zal_1_WPF_wg_przeplywow!K54</f>
        <v>6.5100000000000005E-2</v>
      </c>
      <c r="L47" s="82">
        <f>+Zal_1_WPF_wg_przeplywow!L54</f>
        <v>6.4699999999999994E-2</v>
      </c>
      <c r="M47" s="82">
        <f>+Zal_1_WPF_wg_przeplywow!M54</f>
        <v>6.1699999999999998E-2</v>
      </c>
      <c r="N47" s="82">
        <f>+Zal_1_WPF_wg_przeplywow!N54</f>
        <v>3.78E-2</v>
      </c>
      <c r="O47" s="82">
        <f>+Zal_1_WPF_wg_przeplywow!O54</f>
        <v>8.8999999999999999E-3</v>
      </c>
      <c r="P47" s="82">
        <f>+Zal_1_WPF_wg_przeplywow!P54</f>
        <v>8.6E-3</v>
      </c>
      <c r="Q47" s="82">
        <f>+Zal_1_WPF_wg_przeplywow!Q54</f>
        <v>8.3000000000000001E-3</v>
      </c>
      <c r="R47" s="82">
        <f>+Zal_1_WPF_wg_przeplywow!R54</f>
        <v>8.0000000000000002E-3</v>
      </c>
      <c r="S47" s="82">
        <f>+Zal_1_WPF_wg_przeplywow!S54</f>
        <v>7.7999999999999996E-3</v>
      </c>
      <c r="T47" s="82">
        <f>+Zal_1_WPF_wg_przeplywow!T54</f>
        <v>7.4999999999999997E-3</v>
      </c>
      <c r="U47" s="82">
        <f>+Zal_1_WPF_wg_przeplywow!U54</f>
        <v>0</v>
      </c>
      <c r="V47" s="82">
        <f>+Zal_1_WPF_wg_przeplywow!V54</f>
        <v>0</v>
      </c>
      <c r="W47" s="82">
        <f>+Zal_1_WPF_wg_przeplywow!W54</f>
        <v>0</v>
      </c>
      <c r="X47" s="82">
        <f>+Zal_1_WPF_wg_przeplywow!X54</f>
        <v>0</v>
      </c>
      <c r="Y47" s="82">
        <f>+Zal_1_WPF_wg_przeplywow!Y54</f>
        <v>0</v>
      </c>
      <c r="Z47" s="82">
        <f>+Zal_1_WPF_wg_przeplywow!Z54</f>
        <v>0</v>
      </c>
      <c r="AA47" s="82">
        <f>+Zal_1_WPF_wg_przeplywow!AA54</f>
        <v>0</v>
      </c>
      <c r="AB47" s="82">
        <f>+Zal_1_WPF_wg_przeplywow!AB54</f>
        <v>0</v>
      </c>
      <c r="AC47" s="82">
        <f>+Zal_1_WPF_wg_przeplywow!AC54</f>
        <v>0</v>
      </c>
      <c r="AD47" s="82">
        <f>+Zal_1_WPF_wg_przeplywow!AD54</f>
        <v>0</v>
      </c>
      <c r="AE47" s="82">
        <f>+Zal_1_WPF_wg_przeplywow!AE54</f>
        <v>0</v>
      </c>
      <c r="AF47" s="82">
        <f>+Zal_1_WPF_wg_przeplywow!AF54</f>
        <v>0</v>
      </c>
      <c r="AG47" s="82">
        <f>+Zal_1_WPF_wg_przeplywow!AG54</f>
        <v>0</v>
      </c>
      <c r="AH47" s="82">
        <f>+Zal_1_WPF_wg_przeplywow!AH54</f>
        <v>0</v>
      </c>
      <c r="AI47" s="82">
        <f>+Zal_1_WPF_wg_przeplywow!AI54</f>
        <v>0</v>
      </c>
      <c r="AJ47" s="82">
        <f>+Zal_1_WPF_wg_przeplywow!AJ54</f>
        <v>0</v>
      </c>
      <c r="AK47" s="82">
        <f>+Zal_1_WPF_wg_przeplywow!AK54</f>
        <v>0</v>
      </c>
      <c r="AL47" s="82">
        <f>+Zal_1_WPF_wg_przeplywow!AL54</f>
        <v>0</v>
      </c>
      <c r="AM47" s="82">
        <f>+Zal_1_WPF_wg_przeplywow!AM54</f>
        <v>0</v>
      </c>
      <c r="AN47" s="82">
        <f>+Zal_1_WPF_wg_przeplywow!AN54</f>
        <v>0</v>
      </c>
      <c r="AO47" s="82">
        <f>+Zal_1_WPF_wg_przeplywow!AO54</f>
        <v>0</v>
      </c>
    </row>
    <row r="48" spans="1:246" ht="24">
      <c r="A48" s="89" t="s">
        <v>78</v>
      </c>
      <c r="B48" s="93" t="s">
        <v>79</v>
      </c>
      <c r="C48" s="84" t="str">
        <f>IF(C47&lt;=C$43,"Spełnia  art. 243","Nie spełnia art. 243")</f>
        <v>Spełnia  art. 243</v>
      </c>
      <c r="D48" s="84" t="str">
        <f t="shared" ref="D48:AD48" si="24">IF(D47&lt;=D$43,"Spełnia  art. 243","Nie spełnia art. 243")</f>
        <v>Spełnia  art. 243</v>
      </c>
      <c r="E48" s="84" t="str">
        <f t="shared" si="24"/>
        <v>Spełnia  art. 243</v>
      </c>
      <c r="F48" s="84" t="str">
        <f t="shared" si="24"/>
        <v>Spełnia  art. 243</v>
      </c>
      <c r="G48" s="84" t="str">
        <f t="shared" si="24"/>
        <v>Spełnia  art. 243</v>
      </c>
      <c r="H48" s="84" t="str">
        <f t="shared" si="24"/>
        <v>Spełnia  art. 243</v>
      </c>
      <c r="I48" s="84" t="str">
        <f t="shared" si="24"/>
        <v>Spełnia  art. 243</v>
      </c>
      <c r="J48" s="84" t="str">
        <f t="shared" si="24"/>
        <v>Spełnia  art. 243</v>
      </c>
      <c r="K48" s="84" t="str">
        <f t="shared" si="24"/>
        <v>Spełnia  art. 243</v>
      </c>
      <c r="L48" s="84" t="str">
        <f t="shared" si="24"/>
        <v>Spełnia  art. 243</v>
      </c>
      <c r="M48" s="84" t="str">
        <f t="shared" si="24"/>
        <v>Spełnia  art. 243</v>
      </c>
      <c r="N48" s="84" t="str">
        <f t="shared" si="24"/>
        <v>Spełnia  art. 243</v>
      </c>
      <c r="O48" s="84" t="str">
        <f t="shared" si="24"/>
        <v>Spełnia  art. 243</v>
      </c>
      <c r="P48" s="84" t="str">
        <f t="shared" si="24"/>
        <v>Spełnia  art. 243</v>
      </c>
      <c r="Q48" s="84" t="str">
        <f t="shared" si="24"/>
        <v>Spełnia  art. 243</v>
      </c>
      <c r="R48" s="84" t="str">
        <f t="shared" si="24"/>
        <v>Spełnia  art. 243</v>
      </c>
      <c r="S48" s="84" t="str">
        <f t="shared" si="24"/>
        <v>Spełnia  art. 243</v>
      </c>
      <c r="T48" s="84" t="str">
        <f t="shared" si="24"/>
        <v>Spełnia  art. 243</v>
      </c>
      <c r="U48" s="84" t="str">
        <f t="shared" si="24"/>
        <v>Spełnia  art. 243</v>
      </c>
      <c r="V48" s="84" t="str">
        <f t="shared" si="24"/>
        <v>Spełnia  art. 243</v>
      </c>
      <c r="W48" s="84" t="str">
        <f t="shared" si="24"/>
        <v>Spełnia  art. 243</v>
      </c>
      <c r="X48" s="84" t="str">
        <f t="shared" si="24"/>
        <v>Spełnia  art. 243</v>
      </c>
      <c r="Y48" s="84" t="str">
        <f t="shared" si="24"/>
        <v>Spełnia  art. 243</v>
      </c>
      <c r="Z48" s="84" t="str">
        <f t="shared" si="24"/>
        <v>Spełnia  art. 243</v>
      </c>
      <c r="AA48" s="84" t="str">
        <f t="shared" si="24"/>
        <v>Spełnia  art. 243</v>
      </c>
      <c r="AB48" s="84" t="str">
        <f t="shared" si="24"/>
        <v>Spełnia  art. 243</v>
      </c>
      <c r="AC48" s="84" t="str">
        <f t="shared" si="24"/>
        <v>Spełnia  art. 243</v>
      </c>
      <c r="AD48" s="84" t="str">
        <f t="shared" si="24"/>
        <v>Spełnia  art. 243</v>
      </c>
      <c r="AE48" s="84" t="str">
        <f t="shared" ref="AE48:AO48" si="25">IF(AE47&lt;=AE$43,"Spełnia  art. 243","Nie spełnia art. 243")</f>
        <v>Spełnia  art. 243</v>
      </c>
      <c r="AF48" s="84" t="str">
        <f t="shared" si="25"/>
        <v>Spełnia  art. 243</v>
      </c>
      <c r="AG48" s="84" t="str">
        <f t="shared" si="25"/>
        <v>Spełnia  art. 243</v>
      </c>
      <c r="AH48" s="84" t="str">
        <f t="shared" si="25"/>
        <v>Spełnia  art. 243</v>
      </c>
      <c r="AI48" s="84" t="str">
        <f t="shared" si="25"/>
        <v>Spełnia  art. 243</v>
      </c>
      <c r="AJ48" s="84" t="str">
        <f t="shared" si="25"/>
        <v>Spełnia  art. 243</v>
      </c>
      <c r="AK48" s="84" t="str">
        <f t="shared" si="25"/>
        <v>Spełnia  art. 243</v>
      </c>
      <c r="AL48" s="84" t="str">
        <f t="shared" si="25"/>
        <v>Spełnia  art. 243</v>
      </c>
      <c r="AM48" s="84" t="str">
        <f t="shared" si="25"/>
        <v>Spełnia  art. 243</v>
      </c>
      <c r="AN48" s="84" t="str">
        <f t="shared" si="25"/>
        <v>Spełnia  art. 243</v>
      </c>
      <c r="AO48" s="84" t="str">
        <f t="shared" si="25"/>
        <v>Spełnia  art. 243</v>
      </c>
    </row>
    <row r="49" spans="1:41">
      <c r="A49" s="68" t="s">
        <v>23</v>
      </c>
      <c r="B49" s="69" t="s">
        <v>80</v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</row>
    <row r="50" spans="1:41">
      <c r="A50" s="71"/>
      <c r="B50" s="72" t="s">
        <v>4</v>
      </c>
      <c r="C50" s="73">
        <f>+Zal_1_WPF_wg_przeplywow!C14</f>
        <v>138223386.08000001</v>
      </c>
      <c r="D50" s="73">
        <f>+Zal_1_WPF_wg_przeplywow!D14</f>
        <v>140068364</v>
      </c>
      <c r="E50" s="73">
        <f>+Zal_1_WPF_wg_przeplywow!E14</f>
        <v>142169389</v>
      </c>
      <c r="F50" s="73">
        <f>+Zal_1_WPF_wg_przeplywow!F14</f>
        <v>144301930</v>
      </c>
      <c r="G50" s="73">
        <f>+Zal_1_WPF_wg_przeplywow!G14</f>
        <v>146466459</v>
      </c>
      <c r="H50" s="73">
        <f>+Zal_1_WPF_wg_przeplywow!H14</f>
        <v>148663456</v>
      </c>
      <c r="I50" s="73">
        <f>+Zal_1_WPF_wg_przeplywow!I14</f>
        <v>150893408</v>
      </c>
      <c r="J50" s="73">
        <f>+Zal_1_WPF_wg_przeplywow!J14</f>
        <v>153156809</v>
      </c>
      <c r="K50" s="73">
        <f>+Zal_1_WPF_wg_przeplywow!K14</f>
        <v>155454161</v>
      </c>
      <c r="L50" s="73">
        <f>+Zal_1_WPF_wg_przeplywow!L14</f>
        <v>157785973</v>
      </c>
      <c r="M50" s="73">
        <f>+Zal_1_WPF_wg_przeplywow!M14</f>
        <v>160152763</v>
      </c>
      <c r="N50" s="73">
        <f>+Zal_1_WPF_wg_przeplywow!N14</f>
        <v>162555055</v>
      </c>
      <c r="O50" s="73">
        <f>+Zal_1_WPF_wg_przeplywow!O14</f>
        <v>164993380</v>
      </c>
      <c r="P50" s="73">
        <f>+Zal_1_WPF_wg_przeplywow!P14</f>
        <v>167468281</v>
      </c>
      <c r="Q50" s="73">
        <f>+Zal_1_WPF_wg_przeplywow!Q14</f>
        <v>169980305</v>
      </c>
      <c r="R50" s="73">
        <f>+Zal_1_WPF_wg_przeplywow!R14</f>
        <v>172530010</v>
      </c>
      <c r="S50" s="73">
        <f>+Zal_1_WPF_wg_przeplywow!S14</f>
        <v>175117960</v>
      </c>
      <c r="T50" s="73">
        <f>+Zal_1_WPF_wg_przeplywow!T14</f>
        <v>177744729</v>
      </c>
      <c r="U50" s="73">
        <f>+Zal_1_WPF_wg_przeplywow!U14</f>
        <v>180410900</v>
      </c>
      <c r="V50" s="73">
        <f>+Zal_1_WPF_wg_przeplywow!V14</f>
        <v>0</v>
      </c>
      <c r="W50" s="73">
        <f>+Zal_1_WPF_wg_przeplywow!W14</f>
        <v>0</v>
      </c>
      <c r="X50" s="73">
        <f>+Zal_1_WPF_wg_przeplywow!X14</f>
        <v>0</v>
      </c>
      <c r="Y50" s="73">
        <f>+Zal_1_WPF_wg_przeplywow!Y14</f>
        <v>0</v>
      </c>
      <c r="Z50" s="73">
        <f>+Zal_1_WPF_wg_przeplywow!Z14</f>
        <v>0</v>
      </c>
      <c r="AA50" s="73">
        <f>+Zal_1_WPF_wg_przeplywow!AA14</f>
        <v>0</v>
      </c>
      <c r="AB50" s="73">
        <f>+Zal_1_WPF_wg_przeplywow!AB14</f>
        <v>0</v>
      </c>
      <c r="AC50" s="73">
        <f>+Zal_1_WPF_wg_przeplywow!AC14</f>
        <v>0</v>
      </c>
      <c r="AD50" s="73">
        <f>+Zal_1_WPF_wg_przeplywow!AD14</f>
        <v>0</v>
      </c>
      <c r="AE50" s="73">
        <f>+Zal_1_WPF_wg_przeplywow!AE14</f>
        <v>0</v>
      </c>
      <c r="AF50" s="73">
        <f>+Zal_1_WPF_wg_przeplywow!AF14</f>
        <v>0</v>
      </c>
      <c r="AG50" s="73">
        <f>+Zal_1_WPF_wg_przeplywow!AG14</f>
        <v>0</v>
      </c>
      <c r="AH50" s="73">
        <f>+Zal_1_WPF_wg_przeplywow!AH14</f>
        <v>0</v>
      </c>
      <c r="AI50" s="73">
        <f>+Zal_1_WPF_wg_przeplywow!AI14</f>
        <v>0</v>
      </c>
      <c r="AJ50" s="73">
        <f>+Zal_1_WPF_wg_przeplywow!AJ14</f>
        <v>0</v>
      </c>
      <c r="AK50" s="73">
        <f>+Zal_1_WPF_wg_przeplywow!AK14</f>
        <v>0</v>
      </c>
      <c r="AL50" s="73">
        <f>+Zal_1_WPF_wg_przeplywow!AL14</f>
        <v>0</v>
      </c>
      <c r="AM50" s="73">
        <f>+Zal_1_WPF_wg_przeplywow!AM14</f>
        <v>0</v>
      </c>
      <c r="AN50" s="73">
        <f>+Zal_1_WPF_wg_przeplywow!AN14</f>
        <v>0</v>
      </c>
      <c r="AO50" s="73">
        <f>+Zal_1_WPF_wg_przeplywow!AO14</f>
        <v>0</v>
      </c>
    </row>
    <row r="51" spans="1:41">
      <c r="A51" s="71"/>
      <c r="B51" s="72" t="s">
        <v>5</v>
      </c>
      <c r="C51" s="73">
        <f>+Zal_1_WPF_wg_przeplywow!C15</f>
        <v>19380284.949999999</v>
      </c>
      <c r="D51" s="73">
        <f>+Zal_1_WPF_wg_przeplywow!D15</f>
        <v>19524474</v>
      </c>
      <c r="E51" s="73">
        <f>+Zal_1_WPF_wg_przeplywow!E15</f>
        <v>19817338</v>
      </c>
      <c r="F51" s="73">
        <f>+Zal_1_WPF_wg_przeplywow!F15</f>
        <v>20114598</v>
      </c>
      <c r="G51" s="73">
        <f>+Zal_1_WPF_wg_przeplywow!G15</f>
        <v>20416317</v>
      </c>
      <c r="H51" s="73">
        <f>+Zal_1_WPF_wg_przeplywow!H15</f>
        <v>20772562</v>
      </c>
      <c r="I51" s="73">
        <f>+Zal_1_WPF_wg_przeplywow!I15</f>
        <v>21033400</v>
      </c>
      <c r="J51" s="73">
        <f>+Zal_1_WPF_wg_przeplywow!J15</f>
        <v>21348901</v>
      </c>
      <c r="K51" s="73">
        <f>+Zal_1_WPF_wg_przeplywow!K15</f>
        <v>21669135</v>
      </c>
      <c r="L51" s="73">
        <f>+Zal_1_WPF_wg_przeplywow!L15</f>
        <v>21994172</v>
      </c>
      <c r="M51" s="73">
        <f>+Zal_1_WPF_wg_przeplywow!M15</f>
        <v>22324084</v>
      </c>
      <c r="N51" s="73">
        <f>+Zal_1_WPF_wg_przeplywow!N15</f>
        <v>22658946</v>
      </c>
      <c r="O51" s="73">
        <f>+Zal_1_WPF_wg_przeplywow!O15</f>
        <v>22998830</v>
      </c>
      <c r="P51" s="73">
        <f>+Zal_1_WPF_wg_przeplywow!P15</f>
        <v>23343812</v>
      </c>
      <c r="Q51" s="73">
        <f>+Zal_1_WPF_wg_przeplywow!Q15</f>
        <v>23693970</v>
      </c>
      <c r="R51" s="73">
        <f>+Zal_1_WPF_wg_przeplywow!R15</f>
        <v>24049379</v>
      </c>
      <c r="S51" s="73">
        <f>+Zal_1_WPF_wg_przeplywow!S15</f>
        <v>24410120</v>
      </c>
      <c r="T51" s="73">
        <f>+Zal_1_WPF_wg_przeplywow!T15</f>
        <v>24776271</v>
      </c>
      <c r="U51" s="73">
        <f>+Zal_1_WPF_wg_przeplywow!U15</f>
        <v>25147915</v>
      </c>
      <c r="V51" s="73">
        <f>+Zal_1_WPF_wg_przeplywow!V15</f>
        <v>0</v>
      </c>
      <c r="W51" s="73">
        <f>+Zal_1_WPF_wg_przeplywow!W15</f>
        <v>0</v>
      </c>
      <c r="X51" s="73">
        <f>+Zal_1_WPF_wg_przeplywow!X15</f>
        <v>0</v>
      </c>
      <c r="Y51" s="73">
        <f>+Zal_1_WPF_wg_przeplywow!Y15</f>
        <v>0</v>
      </c>
      <c r="Z51" s="73">
        <f>+Zal_1_WPF_wg_przeplywow!Z15</f>
        <v>0</v>
      </c>
      <c r="AA51" s="73">
        <f>+Zal_1_WPF_wg_przeplywow!AA15</f>
        <v>0</v>
      </c>
      <c r="AB51" s="73">
        <f>+Zal_1_WPF_wg_przeplywow!AB15</f>
        <v>0</v>
      </c>
      <c r="AC51" s="73">
        <f>+Zal_1_WPF_wg_przeplywow!AC15</f>
        <v>0</v>
      </c>
      <c r="AD51" s="73">
        <f>+Zal_1_WPF_wg_przeplywow!AD15</f>
        <v>0</v>
      </c>
      <c r="AE51" s="73">
        <f>+Zal_1_WPF_wg_przeplywow!AE15</f>
        <v>0</v>
      </c>
      <c r="AF51" s="73">
        <f>+Zal_1_WPF_wg_przeplywow!AF15</f>
        <v>0</v>
      </c>
      <c r="AG51" s="73">
        <f>+Zal_1_WPF_wg_przeplywow!AG15</f>
        <v>0</v>
      </c>
      <c r="AH51" s="73">
        <f>+Zal_1_WPF_wg_przeplywow!AH15</f>
        <v>0</v>
      </c>
      <c r="AI51" s="73">
        <f>+Zal_1_WPF_wg_przeplywow!AI15</f>
        <v>0</v>
      </c>
      <c r="AJ51" s="73">
        <f>+Zal_1_WPF_wg_przeplywow!AJ15</f>
        <v>0</v>
      </c>
      <c r="AK51" s="73">
        <f>+Zal_1_WPF_wg_przeplywow!AK15</f>
        <v>0</v>
      </c>
      <c r="AL51" s="73">
        <f>+Zal_1_WPF_wg_przeplywow!AL15</f>
        <v>0</v>
      </c>
      <c r="AM51" s="73">
        <f>+Zal_1_WPF_wg_przeplywow!AM15</f>
        <v>0</v>
      </c>
      <c r="AN51" s="73">
        <f>+Zal_1_WPF_wg_przeplywow!AN15</f>
        <v>0</v>
      </c>
      <c r="AO51" s="73">
        <f>+Zal_1_WPF_wg_przeplywow!AO15</f>
        <v>0</v>
      </c>
    </row>
    <row r="52" spans="1:41">
      <c r="A52" s="71"/>
      <c r="B52" s="72" t="s">
        <v>81</v>
      </c>
      <c r="C52" s="73">
        <f>+Zal_1_WPF_wg_przeplywow!C18</f>
        <v>7541339.0700000003</v>
      </c>
      <c r="D52" s="73">
        <f>+Zal_1_WPF_wg_przeplywow!D18</f>
        <v>498007.02</v>
      </c>
      <c r="E52" s="73">
        <f>+Zal_1_WPF_wg_przeplywow!E18</f>
        <v>249994.7</v>
      </c>
      <c r="F52" s="73">
        <f>+Zal_1_WPF_wg_przeplywow!F18</f>
        <v>235898.36</v>
      </c>
      <c r="G52" s="73">
        <f>+Zal_1_WPF_wg_przeplywow!G18</f>
        <v>250603.4</v>
      </c>
      <c r="H52" s="73">
        <f>+Zal_1_WPF_wg_przeplywow!H18</f>
        <v>29865.4</v>
      </c>
      <c r="I52" s="73">
        <f>+Zal_1_WPF_wg_przeplywow!I18</f>
        <v>29465.4</v>
      </c>
      <c r="J52" s="73">
        <f>+Zal_1_WPF_wg_przeplywow!J18</f>
        <v>29444.400000000001</v>
      </c>
      <c r="K52" s="73">
        <f>+Zal_1_WPF_wg_przeplywow!K18</f>
        <v>29426.400000000001</v>
      </c>
      <c r="L52" s="73">
        <f>+Zal_1_WPF_wg_przeplywow!L18</f>
        <v>29221.4</v>
      </c>
      <c r="M52" s="73">
        <f>+Zal_1_WPF_wg_przeplywow!M18</f>
        <v>29219.4</v>
      </c>
      <c r="N52" s="73">
        <f>+Zal_1_WPF_wg_przeplywow!N18</f>
        <v>28419.4</v>
      </c>
      <c r="O52" s="73">
        <f>+Zal_1_WPF_wg_przeplywow!O18</f>
        <v>28419.4</v>
      </c>
      <c r="P52" s="73">
        <f>+Zal_1_WPF_wg_przeplywow!P18</f>
        <v>28419.4</v>
      </c>
      <c r="Q52" s="73">
        <f>+Zal_1_WPF_wg_przeplywow!Q18</f>
        <v>28419.4</v>
      </c>
      <c r="R52" s="73">
        <f>+Zal_1_WPF_wg_przeplywow!R18</f>
        <v>28419.4</v>
      </c>
      <c r="S52" s="73">
        <f>+Zal_1_WPF_wg_przeplywow!S18</f>
        <v>28419.4</v>
      </c>
      <c r="T52" s="73">
        <f>+Zal_1_WPF_wg_przeplywow!T18</f>
        <v>28419.4</v>
      </c>
      <c r="U52" s="73">
        <f>+Zal_1_WPF_wg_przeplywow!U18</f>
        <v>416</v>
      </c>
      <c r="V52" s="73">
        <f>+Zal_1_WPF_wg_przeplywow!V18</f>
        <v>0</v>
      </c>
      <c r="W52" s="73">
        <f>+Zal_1_WPF_wg_przeplywow!W18</f>
        <v>0</v>
      </c>
      <c r="X52" s="73">
        <f>+Zal_1_WPF_wg_przeplywow!X18</f>
        <v>0</v>
      </c>
      <c r="Y52" s="73">
        <f>+Zal_1_WPF_wg_przeplywow!Y18</f>
        <v>0</v>
      </c>
      <c r="Z52" s="73">
        <f>+Zal_1_WPF_wg_przeplywow!Z18</f>
        <v>0</v>
      </c>
      <c r="AA52" s="73">
        <f>+Zal_1_WPF_wg_przeplywow!AA18</f>
        <v>0</v>
      </c>
      <c r="AB52" s="73">
        <f>+Zal_1_WPF_wg_przeplywow!AB18</f>
        <v>0</v>
      </c>
      <c r="AC52" s="73">
        <f>+Zal_1_WPF_wg_przeplywow!AC18</f>
        <v>0</v>
      </c>
      <c r="AD52" s="73">
        <f>+Zal_1_WPF_wg_przeplywow!AD18</f>
        <v>0</v>
      </c>
      <c r="AE52" s="73">
        <f>+Zal_1_WPF_wg_przeplywow!AE18</f>
        <v>0</v>
      </c>
      <c r="AF52" s="73">
        <f>+Zal_1_WPF_wg_przeplywow!AF18</f>
        <v>0</v>
      </c>
      <c r="AG52" s="73">
        <f>+Zal_1_WPF_wg_przeplywow!AG18</f>
        <v>0</v>
      </c>
      <c r="AH52" s="73">
        <f>+Zal_1_WPF_wg_przeplywow!AH18</f>
        <v>0</v>
      </c>
      <c r="AI52" s="73">
        <f>+Zal_1_WPF_wg_przeplywow!AI18</f>
        <v>0</v>
      </c>
      <c r="AJ52" s="73">
        <f>+Zal_1_WPF_wg_przeplywow!AJ18</f>
        <v>0</v>
      </c>
      <c r="AK52" s="73">
        <f>+Zal_1_WPF_wg_przeplywow!AK18</f>
        <v>0</v>
      </c>
      <c r="AL52" s="73">
        <f>+Zal_1_WPF_wg_przeplywow!AL18</f>
        <v>0</v>
      </c>
      <c r="AM52" s="73">
        <f>+Zal_1_WPF_wg_przeplywow!AM18</f>
        <v>0</v>
      </c>
      <c r="AN52" s="73">
        <f>+Zal_1_WPF_wg_przeplywow!AN18</f>
        <v>0</v>
      </c>
      <c r="AO52" s="73">
        <f>+Zal_1_WPF_wg_przeplywow!AO18</f>
        <v>0</v>
      </c>
    </row>
    <row r="53" spans="1:41">
      <c r="A53" s="85"/>
      <c r="B53" s="86" t="s">
        <v>82</v>
      </c>
      <c r="C53" s="87">
        <f>+Zal_1_WPF_wg_przeplywow!C34</f>
        <v>155291910.46000001</v>
      </c>
      <c r="D53" s="87">
        <f>+Zal_1_WPF_wg_przeplywow!D34</f>
        <v>110305212.97</v>
      </c>
      <c r="E53" s="87">
        <f>+Zal_1_WPF_wg_przeplywow!E34</f>
        <v>15074409.1</v>
      </c>
      <c r="F53" s="87">
        <f>+Zal_1_WPF_wg_przeplywow!F34</f>
        <v>1506785</v>
      </c>
      <c r="G53" s="87">
        <f>+Zal_1_WPF_wg_przeplywow!G34</f>
        <v>71340</v>
      </c>
      <c r="H53" s="87">
        <f>+Zal_1_WPF_wg_przeplywow!H34</f>
        <v>71340</v>
      </c>
      <c r="I53" s="87">
        <f>+Zal_1_WPF_wg_przeplywow!I34</f>
        <v>71340</v>
      </c>
      <c r="J53" s="87">
        <f>+Zal_1_WPF_wg_przeplywow!J34</f>
        <v>71340</v>
      </c>
      <c r="K53" s="87">
        <f>+Zal_1_WPF_wg_przeplywow!K34</f>
        <v>0</v>
      </c>
      <c r="L53" s="87">
        <f>+Zal_1_WPF_wg_przeplywow!L34</f>
        <v>0</v>
      </c>
      <c r="M53" s="87">
        <f>+Zal_1_WPF_wg_przeplywow!M34</f>
        <v>0</v>
      </c>
      <c r="N53" s="87">
        <f>+Zal_1_WPF_wg_przeplywow!N34</f>
        <v>0</v>
      </c>
      <c r="O53" s="87">
        <f>+Zal_1_WPF_wg_przeplywow!O34</f>
        <v>0</v>
      </c>
      <c r="P53" s="87">
        <f>+Zal_1_WPF_wg_przeplywow!P34</f>
        <v>0</v>
      </c>
      <c r="Q53" s="87">
        <f>+Zal_1_WPF_wg_przeplywow!Q34</f>
        <v>0</v>
      </c>
      <c r="R53" s="87">
        <f>+Zal_1_WPF_wg_przeplywow!R34</f>
        <v>0</v>
      </c>
      <c r="S53" s="87">
        <f>+Zal_1_WPF_wg_przeplywow!S34</f>
        <v>0</v>
      </c>
      <c r="T53" s="87">
        <f>+Zal_1_WPF_wg_przeplywow!T34</f>
        <v>0</v>
      </c>
      <c r="U53" s="87">
        <f>+Zal_1_WPF_wg_przeplywow!U34</f>
        <v>0</v>
      </c>
      <c r="V53" s="87">
        <f>+Zal_1_WPF_wg_przeplywow!V34</f>
        <v>0</v>
      </c>
      <c r="W53" s="87">
        <f>+Zal_1_WPF_wg_przeplywow!W34</f>
        <v>0</v>
      </c>
      <c r="X53" s="87">
        <f>+Zal_1_WPF_wg_przeplywow!X34</f>
        <v>0</v>
      </c>
      <c r="Y53" s="87">
        <f>+Zal_1_WPF_wg_przeplywow!Y34</f>
        <v>0</v>
      </c>
      <c r="Z53" s="87">
        <f>+Zal_1_WPF_wg_przeplywow!Z34</f>
        <v>0</v>
      </c>
      <c r="AA53" s="87">
        <f>+Zal_1_WPF_wg_przeplywow!AA34</f>
        <v>0</v>
      </c>
      <c r="AB53" s="87">
        <f>+Zal_1_WPF_wg_przeplywow!AB34</f>
        <v>0</v>
      </c>
      <c r="AC53" s="87">
        <f>+Zal_1_WPF_wg_przeplywow!AC34</f>
        <v>0</v>
      </c>
      <c r="AD53" s="87">
        <f>+Zal_1_WPF_wg_przeplywow!AD34</f>
        <v>0</v>
      </c>
      <c r="AE53" s="87">
        <f>+Zal_1_WPF_wg_przeplywow!AE34</f>
        <v>0</v>
      </c>
      <c r="AF53" s="87">
        <f>+Zal_1_WPF_wg_przeplywow!AF34</f>
        <v>0</v>
      </c>
      <c r="AG53" s="87">
        <f>+Zal_1_WPF_wg_przeplywow!AG34</f>
        <v>0</v>
      </c>
      <c r="AH53" s="87">
        <f>+Zal_1_WPF_wg_przeplywow!AH34</f>
        <v>0</v>
      </c>
      <c r="AI53" s="87">
        <f>+Zal_1_WPF_wg_przeplywow!AI34</f>
        <v>0</v>
      </c>
      <c r="AJ53" s="87">
        <f>+Zal_1_WPF_wg_przeplywow!AJ34</f>
        <v>0</v>
      </c>
      <c r="AK53" s="87">
        <f>+Zal_1_WPF_wg_przeplywow!AK34</f>
        <v>0</v>
      </c>
      <c r="AL53" s="87">
        <f>+Zal_1_WPF_wg_przeplywow!AL34</f>
        <v>0</v>
      </c>
      <c r="AM53" s="87">
        <f>+Zal_1_WPF_wg_przeplywow!AM34</f>
        <v>0</v>
      </c>
      <c r="AN53" s="87">
        <f>+Zal_1_WPF_wg_przeplywow!AN34</f>
        <v>0</v>
      </c>
      <c r="AO53" s="87">
        <f>+Zal_1_WPF_wg_przeplywow!AO34</f>
        <v>0</v>
      </c>
    </row>
    <row r="54" spans="1:41" ht="24">
      <c r="A54" s="66" t="s">
        <v>24</v>
      </c>
      <c r="B54" s="67" t="s">
        <v>162</v>
      </c>
      <c r="C54" s="58">
        <f>+Zal_1_WPF_wg_przeplywow!C43</f>
        <v>0</v>
      </c>
      <c r="D54" s="58">
        <f>+Zal_1_WPF_wg_przeplywow!D43</f>
        <v>0</v>
      </c>
      <c r="E54" s="58">
        <f>+Zal_1_WPF_wg_przeplywow!E43</f>
        <v>0</v>
      </c>
      <c r="F54" s="58">
        <f>+Zal_1_WPF_wg_przeplywow!F43</f>
        <v>20744409</v>
      </c>
      <c r="G54" s="58">
        <f>+Zal_1_WPF_wg_przeplywow!G43</f>
        <v>17467560</v>
      </c>
      <c r="H54" s="58">
        <f>+Zal_1_WPF_wg_przeplywow!H43</f>
        <v>15586023</v>
      </c>
      <c r="I54" s="58">
        <f>+Zal_1_WPF_wg_przeplywow!I43</f>
        <v>17110112</v>
      </c>
      <c r="J54" s="58">
        <f>+Zal_1_WPF_wg_przeplywow!J43</f>
        <v>19400000</v>
      </c>
      <c r="K54" s="58">
        <f>+Zal_1_WPF_wg_przeplywow!K43</f>
        <v>20700000</v>
      </c>
      <c r="L54" s="58">
        <f>+Zal_1_WPF_wg_przeplywow!L43</f>
        <v>22083017</v>
      </c>
      <c r="M54" s="58">
        <f>+Zal_1_WPF_wg_przeplywow!M43</f>
        <v>22649236</v>
      </c>
      <c r="N54" s="58">
        <f>+Zal_1_WPF_wg_przeplywow!N43</f>
        <v>14709433</v>
      </c>
      <c r="O54" s="58">
        <f>+Zal_1_WPF_wg_przeplywow!O43</f>
        <v>3625279</v>
      </c>
      <c r="P54" s="58">
        <f>+Zal_1_WPF_wg_przeplywow!P43</f>
        <v>3625279</v>
      </c>
      <c r="Q54" s="58">
        <f>+Zal_1_WPF_wg_przeplywow!Q43</f>
        <v>3625279</v>
      </c>
      <c r="R54" s="58">
        <f>+Zal_1_WPF_wg_przeplywow!R43</f>
        <v>3625279</v>
      </c>
      <c r="S54" s="58">
        <f>+Zal_1_WPF_wg_przeplywow!S43</f>
        <v>3625279</v>
      </c>
      <c r="T54" s="58">
        <f>+Zal_1_WPF_wg_przeplywow!T43</f>
        <v>3625279.37</v>
      </c>
      <c r="U54" s="58">
        <f>+Zal_1_WPF_wg_przeplywow!U43</f>
        <v>0</v>
      </c>
      <c r="V54" s="58">
        <f>+Zal_1_WPF_wg_przeplywow!V43</f>
        <v>0</v>
      </c>
      <c r="W54" s="58">
        <f>+Zal_1_WPF_wg_przeplywow!W43</f>
        <v>0</v>
      </c>
      <c r="X54" s="58">
        <f>+Zal_1_WPF_wg_przeplywow!X43</f>
        <v>0</v>
      </c>
      <c r="Y54" s="58">
        <f>+Zal_1_WPF_wg_przeplywow!Y43</f>
        <v>0</v>
      </c>
      <c r="Z54" s="58">
        <f>+Zal_1_WPF_wg_przeplywow!Z43</f>
        <v>0</v>
      </c>
      <c r="AA54" s="58">
        <f>+Zal_1_WPF_wg_przeplywow!AA43</f>
        <v>0</v>
      </c>
      <c r="AB54" s="58">
        <f>+Zal_1_WPF_wg_przeplywow!AB43</f>
        <v>0</v>
      </c>
      <c r="AC54" s="58">
        <f>+Zal_1_WPF_wg_przeplywow!AC43</f>
        <v>0</v>
      </c>
      <c r="AD54" s="58">
        <f>+Zal_1_WPF_wg_przeplywow!AD43</f>
        <v>0</v>
      </c>
      <c r="AE54" s="58">
        <f>+Zal_1_WPF_wg_przeplywow!AE43</f>
        <v>0</v>
      </c>
      <c r="AF54" s="58">
        <f>+Zal_1_WPF_wg_przeplywow!AF43</f>
        <v>0</v>
      </c>
      <c r="AG54" s="58">
        <f>+Zal_1_WPF_wg_przeplywow!AG43</f>
        <v>0</v>
      </c>
      <c r="AH54" s="58">
        <f>+Zal_1_WPF_wg_przeplywow!AH43</f>
        <v>0</v>
      </c>
      <c r="AI54" s="58">
        <f>+Zal_1_WPF_wg_przeplywow!AI43</f>
        <v>0</v>
      </c>
      <c r="AJ54" s="58">
        <f>+Zal_1_WPF_wg_przeplywow!AJ43</f>
        <v>0</v>
      </c>
      <c r="AK54" s="58">
        <f>+Zal_1_WPF_wg_przeplywow!AK43</f>
        <v>0</v>
      </c>
      <c r="AL54" s="58">
        <f>+Zal_1_WPF_wg_przeplywow!AL43</f>
        <v>0</v>
      </c>
      <c r="AM54" s="58">
        <f>+Zal_1_WPF_wg_przeplywow!AM43</f>
        <v>0</v>
      </c>
      <c r="AN54" s="58">
        <f>+Zal_1_WPF_wg_przeplywow!AN43</f>
        <v>0</v>
      </c>
      <c r="AO54" s="58">
        <f>+Zal_1_WPF_wg_przeplywow!AO43</f>
        <v>0</v>
      </c>
    </row>
    <row r="55" spans="1:41">
      <c r="A55" s="68" t="s">
        <v>25</v>
      </c>
      <c r="B55" s="69" t="s">
        <v>91</v>
      </c>
      <c r="C55" s="96">
        <f>+Zal_1_WPF_wg_przeplywow!C44</f>
        <v>0</v>
      </c>
      <c r="D55" s="96">
        <f>+Zal_1_WPF_wg_przeplywow!D44</f>
        <v>0</v>
      </c>
      <c r="E55" s="96">
        <f>+Zal_1_WPF_wg_przeplywow!E44</f>
        <v>0</v>
      </c>
      <c r="F55" s="96">
        <f>+Zal_1_WPF_wg_przeplywow!F44</f>
        <v>0</v>
      </c>
      <c r="G55" s="96">
        <f>+Zal_1_WPF_wg_przeplywow!G44</f>
        <v>0</v>
      </c>
      <c r="H55" s="96">
        <f>+Zal_1_WPF_wg_przeplywow!H44</f>
        <v>0</v>
      </c>
      <c r="I55" s="96">
        <f>+Zal_1_WPF_wg_przeplywow!I44</f>
        <v>0</v>
      </c>
      <c r="J55" s="96">
        <f>+Zal_1_WPF_wg_przeplywow!J44</f>
        <v>0</v>
      </c>
      <c r="K55" s="96">
        <f>+Zal_1_WPF_wg_przeplywow!K44</f>
        <v>0</v>
      </c>
      <c r="L55" s="96">
        <f>+Zal_1_WPF_wg_przeplywow!L44</f>
        <v>0</v>
      </c>
      <c r="M55" s="96">
        <f>+Zal_1_WPF_wg_przeplywow!M44</f>
        <v>0</v>
      </c>
      <c r="N55" s="96">
        <f>+Zal_1_WPF_wg_przeplywow!N44</f>
        <v>0</v>
      </c>
      <c r="O55" s="96">
        <f>+Zal_1_WPF_wg_przeplywow!O44</f>
        <v>0</v>
      </c>
      <c r="P55" s="96">
        <f>+Zal_1_WPF_wg_przeplywow!P44</f>
        <v>0</v>
      </c>
      <c r="Q55" s="96">
        <f>+Zal_1_WPF_wg_przeplywow!Q44</f>
        <v>0</v>
      </c>
      <c r="R55" s="96">
        <f>+Zal_1_WPF_wg_przeplywow!R44</f>
        <v>0</v>
      </c>
      <c r="S55" s="96">
        <f>+Zal_1_WPF_wg_przeplywow!S44</f>
        <v>0</v>
      </c>
      <c r="T55" s="96">
        <f>+Zal_1_WPF_wg_przeplywow!T44</f>
        <v>0</v>
      </c>
      <c r="U55" s="96">
        <f>+Zal_1_WPF_wg_przeplywow!U44</f>
        <v>0</v>
      </c>
      <c r="V55" s="96">
        <f>+Zal_1_WPF_wg_przeplywow!V44</f>
        <v>0</v>
      </c>
      <c r="W55" s="96">
        <f>+Zal_1_WPF_wg_przeplywow!W44</f>
        <v>0</v>
      </c>
      <c r="X55" s="96">
        <f>+Zal_1_WPF_wg_przeplywow!X44</f>
        <v>0</v>
      </c>
      <c r="Y55" s="96">
        <f>+Zal_1_WPF_wg_przeplywow!Y44</f>
        <v>0</v>
      </c>
      <c r="Z55" s="96">
        <f>+Zal_1_WPF_wg_przeplywow!Z44</f>
        <v>0</v>
      </c>
      <c r="AA55" s="96">
        <f>+Zal_1_WPF_wg_przeplywow!AA44</f>
        <v>0</v>
      </c>
      <c r="AB55" s="96">
        <f>+Zal_1_WPF_wg_przeplywow!AB44</f>
        <v>0</v>
      </c>
      <c r="AC55" s="96">
        <f>+Zal_1_WPF_wg_przeplywow!AC44</f>
        <v>0</v>
      </c>
      <c r="AD55" s="96">
        <f>+Zal_1_WPF_wg_przeplywow!AD44</f>
        <v>0</v>
      </c>
      <c r="AE55" s="96">
        <f>+Zal_1_WPF_wg_przeplywow!AE44</f>
        <v>0</v>
      </c>
      <c r="AF55" s="96">
        <f>+Zal_1_WPF_wg_przeplywow!AF44</f>
        <v>0</v>
      </c>
      <c r="AG55" s="96">
        <f>+Zal_1_WPF_wg_przeplywow!AG44</f>
        <v>0</v>
      </c>
      <c r="AH55" s="96">
        <f>+Zal_1_WPF_wg_przeplywow!AH44</f>
        <v>0</v>
      </c>
      <c r="AI55" s="96">
        <f>+Zal_1_WPF_wg_przeplywow!AI44</f>
        <v>0</v>
      </c>
      <c r="AJ55" s="96">
        <f>+Zal_1_WPF_wg_przeplywow!AJ44</f>
        <v>0</v>
      </c>
      <c r="AK55" s="96">
        <f>+Zal_1_WPF_wg_przeplywow!AK44</f>
        <v>0</v>
      </c>
      <c r="AL55" s="96">
        <f>+Zal_1_WPF_wg_przeplywow!AL44</f>
        <v>0</v>
      </c>
      <c r="AM55" s="96">
        <f>+Zal_1_WPF_wg_przeplywow!AM44</f>
        <v>0</v>
      </c>
      <c r="AN55" s="96">
        <f>+Zal_1_WPF_wg_przeplywow!AN44</f>
        <v>0</v>
      </c>
      <c r="AO55" s="96">
        <f>+Zal_1_WPF_wg_przeplywow!AO44</f>
        <v>0</v>
      </c>
    </row>
    <row r="56" spans="1:41" ht="24">
      <c r="A56" s="85"/>
      <c r="B56" s="86" t="s">
        <v>92</v>
      </c>
      <c r="C56" s="87">
        <f>+Zal_1_WPF_wg_przeplywow!C45</f>
        <v>0</v>
      </c>
      <c r="D56" s="87">
        <f>+Zal_1_WPF_wg_przeplywow!D45</f>
        <v>0</v>
      </c>
      <c r="E56" s="87">
        <f>+Zal_1_WPF_wg_przeplywow!E45</f>
        <v>0</v>
      </c>
      <c r="F56" s="87">
        <f>+Zal_1_WPF_wg_przeplywow!F45</f>
        <v>0</v>
      </c>
      <c r="G56" s="87">
        <f>+Zal_1_WPF_wg_przeplywow!G45</f>
        <v>0</v>
      </c>
      <c r="H56" s="87">
        <f>+Zal_1_WPF_wg_przeplywow!H45</f>
        <v>0</v>
      </c>
      <c r="I56" s="87">
        <f>+Zal_1_WPF_wg_przeplywow!I45</f>
        <v>0</v>
      </c>
      <c r="J56" s="87">
        <f>+Zal_1_WPF_wg_przeplywow!J45</f>
        <v>0</v>
      </c>
      <c r="K56" s="87">
        <f>+Zal_1_WPF_wg_przeplywow!K45</f>
        <v>0</v>
      </c>
      <c r="L56" s="87">
        <f>+Zal_1_WPF_wg_przeplywow!L45</f>
        <v>0</v>
      </c>
      <c r="M56" s="87">
        <f>+Zal_1_WPF_wg_przeplywow!M45</f>
        <v>0</v>
      </c>
      <c r="N56" s="87">
        <f>+Zal_1_WPF_wg_przeplywow!N45</f>
        <v>0</v>
      </c>
      <c r="O56" s="87">
        <f>+Zal_1_WPF_wg_przeplywow!O45</f>
        <v>0</v>
      </c>
      <c r="P56" s="87">
        <f>+Zal_1_WPF_wg_przeplywow!P45</f>
        <v>0</v>
      </c>
      <c r="Q56" s="87">
        <f>+Zal_1_WPF_wg_przeplywow!Q45</f>
        <v>0</v>
      </c>
      <c r="R56" s="87">
        <f>+Zal_1_WPF_wg_przeplywow!R45</f>
        <v>0</v>
      </c>
      <c r="S56" s="87">
        <f>+Zal_1_WPF_wg_przeplywow!S45</f>
        <v>0</v>
      </c>
      <c r="T56" s="87">
        <f>+Zal_1_WPF_wg_przeplywow!T45</f>
        <v>0</v>
      </c>
      <c r="U56" s="87">
        <f>+Zal_1_WPF_wg_przeplywow!U45</f>
        <v>0</v>
      </c>
      <c r="V56" s="87">
        <f>+Zal_1_WPF_wg_przeplywow!V45</f>
        <v>0</v>
      </c>
      <c r="W56" s="87">
        <f>+Zal_1_WPF_wg_przeplywow!W45</f>
        <v>0</v>
      </c>
      <c r="X56" s="87">
        <f>+Zal_1_WPF_wg_przeplywow!X45</f>
        <v>0</v>
      </c>
      <c r="Y56" s="87">
        <f>+Zal_1_WPF_wg_przeplywow!Y45</f>
        <v>0</v>
      </c>
      <c r="Z56" s="87">
        <f>+Zal_1_WPF_wg_przeplywow!Z45</f>
        <v>0</v>
      </c>
      <c r="AA56" s="87">
        <f>+Zal_1_WPF_wg_przeplywow!AA45</f>
        <v>0</v>
      </c>
      <c r="AB56" s="87">
        <f>+Zal_1_WPF_wg_przeplywow!AB45</f>
        <v>0</v>
      </c>
      <c r="AC56" s="87">
        <f>+Zal_1_WPF_wg_przeplywow!AC45</f>
        <v>0</v>
      </c>
      <c r="AD56" s="87">
        <f>+Zal_1_WPF_wg_przeplywow!AD45</f>
        <v>0</v>
      </c>
      <c r="AE56" s="87">
        <f>+Zal_1_WPF_wg_przeplywow!AE45</f>
        <v>0</v>
      </c>
      <c r="AF56" s="87">
        <f>+Zal_1_WPF_wg_przeplywow!AF45</f>
        <v>0</v>
      </c>
      <c r="AG56" s="87">
        <f>+Zal_1_WPF_wg_przeplywow!AG45</f>
        <v>0</v>
      </c>
      <c r="AH56" s="87">
        <f>+Zal_1_WPF_wg_przeplywow!AH45</f>
        <v>0</v>
      </c>
      <c r="AI56" s="87">
        <f>+Zal_1_WPF_wg_przeplywow!AI45</f>
        <v>0</v>
      </c>
      <c r="AJ56" s="87">
        <f>+Zal_1_WPF_wg_przeplywow!AJ45</f>
        <v>0</v>
      </c>
      <c r="AK56" s="87">
        <f>+Zal_1_WPF_wg_przeplywow!AK45</f>
        <v>0</v>
      </c>
      <c r="AL56" s="87">
        <f>+Zal_1_WPF_wg_przeplywow!AL45</f>
        <v>0</v>
      </c>
      <c r="AM56" s="87">
        <f>+Zal_1_WPF_wg_przeplywow!AM45</f>
        <v>0</v>
      </c>
      <c r="AN56" s="87">
        <f>+Zal_1_WPF_wg_przeplywow!AN45</f>
        <v>0</v>
      </c>
      <c r="AO56" s="87">
        <f>+Zal_1_WPF_wg_przeplywow!AO45</f>
        <v>0</v>
      </c>
    </row>
    <row r="57" spans="1:41" s="4" customFormat="1">
      <c r="A57" s="31"/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pans="1:41" s="4" customFormat="1">
      <c r="A58" s="31"/>
      <c r="B58" s="46" t="s">
        <v>88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pans="1:41">
      <c r="B59" s="46" t="s">
        <v>163</v>
      </c>
    </row>
    <row r="60" spans="1:41">
      <c r="B60" s="46"/>
    </row>
    <row r="62" spans="1:41">
      <c r="B62" s="22" t="s">
        <v>182</v>
      </c>
    </row>
    <row r="63" spans="1:41">
      <c r="B63" s="165" t="s">
        <v>188</v>
      </c>
    </row>
    <row r="64" spans="1:41">
      <c r="B64" s="164" t="s">
        <v>189</v>
      </c>
    </row>
    <row r="66" spans="2:41">
      <c r="B66" s="166" t="s">
        <v>169</v>
      </c>
      <c r="C66" s="167" t="str">
        <f>IF(((C6+C24)-(C12+C31))=0,"OK.",+(C6+C24)-(C12+C31))</f>
        <v>OK.</v>
      </c>
      <c r="D66" s="167" t="str">
        <f>IF(((D6+D24)-(D12+D31))=0,"OK.",+(D6+D24)-(D12+D31))</f>
        <v>OK.</v>
      </c>
      <c r="E66" s="167" t="str">
        <f>IF(((E6+E24)-(E12+E31))=0,"OK.",+(E6+E24)-(E12+E31))</f>
        <v>OK.</v>
      </c>
      <c r="F66" s="167" t="str">
        <f t="shared" ref="F66:AO66" si="26">IF(((F6+F24)-(F12+F31))=0,"OK.",+(F6+F24)-(F12+F31))</f>
        <v>OK.</v>
      </c>
      <c r="G66" s="167" t="str">
        <f t="shared" si="26"/>
        <v>OK.</v>
      </c>
      <c r="H66" s="167" t="str">
        <f t="shared" si="26"/>
        <v>OK.</v>
      </c>
      <c r="I66" s="167" t="str">
        <f t="shared" si="26"/>
        <v>OK.</v>
      </c>
      <c r="J66" s="167" t="str">
        <f t="shared" si="26"/>
        <v>OK.</v>
      </c>
      <c r="K66" s="167" t="str">
        <f t="shared" si="26"/>
        <v>OK.</v>
      </c>
      <c r="L66" s="167" t="str">
        <f t="shared" si="26"/>
        <v>OK.</v>
      </c>
      <c r="M66" s="167" t="str">
        <f t="shared" si="26"/>
        <v>OK.</v>
      </c>
      <c r="N66" s="167" t="str">
        <f t="shared" si="26"/>
        <v>OK.</v>
      </c>
      <c r="O66" s="167" t="str">
        <f t="shared" si="26"/>
        <v>OK.</v>
      </c>
      <c r="P66" s="167" t="str">
        <f t="shared" si="26"/>
        <v>OK.</v>
      </c>
      <c r="Q66" s="167" t="str">
        <f t="shared" si="26"/>
        <v>OK.</v>
      </c>
      <c r="R66" s="167" t="str">
        <f t="shared" si="26"/>
        <v>OK.</v>
      </c>
      <c r="S66" s="167" t="str">
        <f t="shared" si="26"/>
        <v>OK.</v>
      </c>
      <c r="T66" s="167" t="str">
        <f t="shared" si="26"/>
        <v>OK.</v>
      </c>
      <c r="U66" s="167" t="str">
        <f t="shared" si="26"/>
        <v>OK.</v>
      </c>
      <c r="V66" s="167" t="str">
        <f t="shared" si="26"/>
        <v>OK.</v>
      </c>
      <c r="W66" s="167" t="str">
        <f t="shared" si="26"/>
        <v>OK.</v>
      </c>
      <c r="X66" s="167" t="str">
        <f t="shared" si="26"/>
        <v>OK.</v>
      </c>
      <c r="Y66" s="167" t="str">
        <f t="shared" si="26"/>
        <v>OK.</v>
      </c>
      <c r="Z66" s="167" t="str">
        <f t="shared" si="26"/>
        <v>OK.</v>
      </c>
      <c r="AA66" s="167" t="str">
        <f t="shared" si="26"/>
        <v>OK.</v>
      </c>
      <c r="AB66" s="167" t="str">
        <f t="shared" si="26"/>
        <v>OK.</v>
      </c>
      <c r="AC66" s="167" t="str">
        <f t="shared" si="26"/>
        <v>OK.</v>
      </c>
      <c r="AD66" s="167" t="str">
        <f t="shared" si="26"/>
        <v>OK.</v>
      </c>
      <c r="AE66" s="167" t="str">
        <f t="shared" si="26"/>
        <v>OK.</v>
      </c>
      <c r="AF66" s="167" t="str">
        <f t="shared" si="26"/>
        <v>OK.</v>
      </c>
      <c r="AG66" s="167" t="str">
        <f t="shared" si="26"/>
        <v>OK.</v>
      </c>
      <c r="AH66" s="167" t="str">
        <f t="shared" si="26"/>
        <v>OK.</v>
      </c>
      <c r="AI66" s="167" t="str">
        <f t="shared" si="26"/>
        <v>OK.</v>
      </c>
      <c r="AJ66" s="167" t="str">
        <f t="shared" si="26"/>
        <v>OK.</v>
      </c>
      <c r="AK66" s="167" t="str">
        <f t="shared" si="26"/>
        <v>OK.</v>
      </c>
      <c r="AL66" s="167" t="str">
        <f t="shared" si="26"/>
        <v>OK.</v>
      </c>
      <c r="AM66" s="167" t="str">
        <f t="shared" si="26"/>
        <v>OK.</v>
      </c>
      <c r="AN66" s="167" t="str">
        <f t="shared" si="26"/>
        <v>OK.</v>
      </c>
      <c r="AO66" s="167" t="str">
        <f t="shared" si="26"/>
        <v>OK.</v>
      </c>
    </row>
    <row r="67" spans="2:41">
      <c r="B67" s="168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</row>
    <row r="68" spans="2:41" ht="22.5">
      <c r="B68" s="170" t="s">
        <v>190</v>
      </c>
      <c r="C68" s="169" t="str">
        <f>+IF(C22&gt;0,IF((C30+C28+C26)&gt;0,"Błąd","OK."),"nie dotyczy")</f>
        <v>nie dotyczy</v>
      </c>
      <c r="D68" s="169" t="str">
        <f t="shared" ref="D68:AO68" si="27">+IF(D22&gt;0,IF((D30+D28+D26)&gt;0,"Błąd","OK."),"nie dotyczy")</f>
        <v>nie dotyczy</v>
      </c>
      <c r="E68" s="169" t="str">
        <f t="shared" si="27"/>
        <v>nie dotyczy</v>
      </c>
      <c r="F68" s="169" t="str">
        <f t="shared" si="27"/>
        <v>OK.</v>
      </c>
      <c r="G68" s="169" t="str">
        <f t="shared" si="27"/>
        <v>OK.</v>
      </c>
      <c r="H68" s="169" t="str">
        <f t="shared" si="27"/>
        <v>OK.</v>
      </c>
      <c r="I68" s="169" t="str">
        <f t="shared" si="27"/>
        <v>OK.</v>
      </c>
      <c r="J68" s="169" t="str">
        <f t="shared" si="27"/>
        <v>OK.</v>
      </c>
      <c r="K68" s="169" t="str">
        <f t="shared" si="27"/>
        <v>OK.</v>
      </c>
      <c r="L68" s="169" t="str">
        <f t="shared" si="27"/>
        <v>OK.</v>
      </c>
      <c r="M68" s="169" t="str">
        <f t="shared" si="27"/>
        <v>OK.</v>
      </c>
      <c r="N68" s="169" t="str">
        <f t="shared" si="27"/>
        <v>OK.</v>
      </c>
      <c r="O68" s="169" t="str">
        <f t="shared" si="27"/>
        <v>OK.</v>
      </c>
      <c r="P68" s="169" t="str">
        <f t="shared" si="27"/>
        <v>OK.</v>
      </c>
      <c r="Q68" s="169" t="str">
        <f t="shared" si="27"/>
        <v>OK.</v>
      </c>
      <c r="R68" s="169" t="str">
        <f t="shared" si="27"/>
        <v>OK.</v>
      </c>
      <c r="S68" s="169" t="str">
        <f t="shared" si="27"/>
        <v>OK.</v>
      </c>
      <c r="T68" s="169" t="str">
        <f t="shared" si="27"/>
        <v>OK.</v>
      </c>
      <c r="U68" s="169" t="str">
        <f t="shared" si="27"/>
        <v>nie dotyczy</v>
      </c>
      <c r="V68" s="169" t="str">
        <f t="shared" si="27"/>
        <v>nie dotyczy</v>
      </c>
      <c r="W68" s="169" t="str">
        <f t="shared" si="27"/>
        <v>nie dotyczy</v>
      </c>
      <c r="X68" s="169" t="str">
        <f t="shared" si="27"/>
        <v>nie dotyczy</v>
      </c>
      <c r="Y68" s="169" t="str">
        <f t="shared" si="27"/>
        <v>nie dotyczy</v>
      </c>
      <c r="Z68" s="169" t="str">
        <f t="shared" si="27"/>
        <v>nie dotyczy</v>
      </c>
      <c r="AA68" s="169" t="str">
        <f t="shared" si="27"/>
        <v>nie dotyczy</v>
      </c>
      <c r="AB68" s="169" t="str">
        <f t="shared" si="27"/>
        <v>nie dotyczy</v>
      </c>
      <c r="AC68" s="169" t="str">
        <f t="shared" si="27"/>
        <v>nie dotyczy</v>
      </c>
      <c r="AD68" s="169" t="str">
        <f t="shared" si="27"/>
        <v>nie dotyczy</v>
      </c>
      <c r="AE68" s="169" t="str">
        <f t="shared" si="27"/>
        <v>nie dotyczy</v>
      </c>
      <c r="AF68" s="169" t="str">
        <f t="shared" si="27"/>
        <v>nie dotyczy</v>
      </c>
      <c r="AG68" s="169" t="str">
        <f t="shared" si="27"/>
        <v>nie dotyczy</v>
      </c>
      <c r="AH68" s="169" t="str">
        <f t="shared" si="27"/>
        <v>nie dotyczy</v>
      </c>
      <c r="AI68" s="169" t="str">
        <f t="shared" si="27"/>
        <v>nie dotyczy</v>
      </c>
      <c r="AJ68" s="169" t="str">
        <f t="shared" si="27"/>
        <v>nie dotyczy</v>
      </c>
      <c r="AK68" s="169" t="str">
        <f t="shared" si="27"/>
        <v>nie dotyczy</v>
      </c>
      <c r="AL68" s="169" t="str">
        <f t="shared" si="27"/>
        <v>nie dotyczy</v>
      </c>
      <c r="AM68" s="169" t="str">
        <f t="shared" si="27"/>
        <v>nie dotyczy</v>
      </c>
      <c r="AN68" s="169" t="str">
        <f t="shared" si="27"/>
        <v>nie dotyczy</v>
      </c>
      <c r="AO68" s="169" t="str">
        <f t="shared" si="27"/>
        <v>nie dotyczy</v>
      </c>
    </row>
    <row r="69" spans="2:41" ht="22.5">
      <c r="B69" s="170" t="s">
        <v>173</v>
      </c>
      <c r="C69" s="169" t="str">
        <f>IF(C22&lt;=0,IF(ROUND((+C22+(C26+C28+C30)),4)=0,"OK.",+C22+(C26+C28+C30)),"nie dotyczy")</f>
        <v>OK.</v>
      </c>
      <c r="D69" s="169" t="str">
        <f t="shared" ref="D69:AO69" si="28">IF(D22&lt;=0,IF(ROUND((+D22+(D26+D28+D30)),4)=0,"OK.",+D22+(D26+D28+D30)),"nie dotyczy")</f>
        <v>OK.</v>
      </c>
      <c r="E69" s="169" t="str">
        <f t="shared" si="28"/>
        <v>OK.</v>
      </c>
      <c r="F69" s="169" t="str">
        <f t="shared" si="28"/>
        <v>nie dotyczy</v>
      </c>
      <c r="G69" s="169" t="str">
        <f t="shared" si="28"/>
        <v>nie dotyczy</v>
      </c>
      <c r="H69" s="169" t="str">
        <f t="shared" si="28"/>
        <v>nie dotyczy</v>
      </c>
      <c r="I69" s="169" t="str">
        <f t="shared" si="28"/>
        <v>nie dotyczy</v>
      </c>
      <c r="J69" s="169" t="str">
        <f t="shared" si="28"/>
        <v>nie dotyczy</v>
      </c>
      <c r="K69" s="169" t="str">
        <f t="shared" si="28"/>
        <v>nie dotyczy</v>
      </c>
      <c r="L69" s="169" t="str">
        <f t="shared" si="28"/>
        <v>nie dotyczy</v>
      </c>
      <c r="M69" s="169" t="str">
        <f t="shared" si="28"/>
        <v>nie dotyczy</v>
      </c>
      <c r="N69" s="169" t="str">
        <f t="shared" si="28"/>
        <v>nie dotyczy</v>
      </c>
      <c r="O69" s="169" t="str">
        <f t="shared" si="28"/>
        <v>nie dotyczy</v>
      </c>
      <c r="P69" s="169" t="str">
        <f t="shared" si="28"/>
        <v>nie dotyczy</v>
      </c>
      <c r="Q69" s="169" t="str">
        <f t="shared" si="28"/>
        <v>nie dotyczy</v>
      </c>
      <c r="R69" s="169" t="str">
        <f t="shared" si="28"/>
        <v>nie dotyczy</v>
      </c>
      <c r="S69" s="169" t="str">
        <f t="shared" si="28"/>
        <v>nie dotyczy</v>
      </c>
      <c r="T69" s="169" t="str">
        <f t="shared" si="28"/>
        <v>nie dotyczy</v>
      </c>
      <c r="U69" s="169" t="str">
        <f t="shared" si="28"/>
        <v>OK.</v>
      </c>
      <c r="V69" s="169" t="str">
        <f t="shared" si="28"/>
        <v>OK.</v>
      </c>
      <c r="W69" s="169" t="str">
        <f t="shared" si="28"/>
        <v>OK.</v>
      </c>
      <c r="X69" s="169" t="str">
        <f t="shared" si="28"/>
        <v>OK.</v>
      </c>
      <c r="Y69" s="169" t="str">
        <f t="shared" si="28"/>
        <v>OK.</v>
      </c>
      <c r="Z69" s="169" t="str">
        <f t="shared" si="28"/>
        <v>OK.</v>
      </c>
      <c r="AA69" s="169" t="str">
        <f t="shared" si="28"/>
        <v>OK.</v>
      </c>
      <c r="AB69" s="169" t="str">
        <f t="shared" si="28"/>
        <v>OK.</v>
      </c>
      <c r="AC69" s="169" t="str">
        <f t="shared" si="28"/>
        <v>OK.</v>
      </c>
      <c r="AD69" s="169" t="str">
        <f t="shared" si="28"/>
        <v>OK.</v>
      </c>
      <c r="AE69" s="169" t="str">
        <f t="shared" si="28"/>
        <v>OK.</v>
      </c>
      <c r="AF69" s="169" t="str">
        <f t="shared" si="28"/>
        <v>OK.</v>
      </c>
      <c r="AG69" s="169" t="str">
        <f t="shared" si="28"/>
        <v>OK.</v>
      </c>
      <c r="AH69" s="169" t="str">
        <f t="shared" si="28"/>
        <v>OK.</v>
      </c>
      <c r="AI69" s="169" t="str">
        <f t="shared" si="28"/>
        <v>OK.</v>
      </c>
      <c r="AJ69" s="169" t="str">
        <f t="shared" si="28"/>
        <v>OK.</v>
      </c>
      <c r="AK69" s="169" t="str">
        <f t="shared" si="28"/>
        <v>OK.</v>
      </c>
      <c r="AL69" s="169" t="str">
        <f t="shared" si="28"/>
        <v>OK.</v>
      </c>
      <c r="AM69" s="169" t="str">
        <f t="shared" si="28"/>
        <v>OK.</v>
      </c>
      <c r="AN69" s="169" t="str">
        <f t="shared" si="28"/>
        <v>OK.</v>
      </c>
      <c r="AO69" s="169" t="str">
        <f t="shared" si="28"/>
        <v>OK.</v>
      </c>
    </row>
    <row r="70" spans="2:41" ht="24">
      <c r="B70" s="171" t="s">
        <v>170</v>
      </c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2"/>
      <c r="AD70" s="172"/>
      <c r="AE70" s="172"/>
      <c r="AF70" s="172"/>
      <c r="AG70" s="172"/>
      <c r="AH70" s="172"/>
      <c r="AI70" s="172"/>
      <c r="AJ70" s="172"/>
      <c r="AK70" s="172"/>
      <c r="AL70" s="172"/>
      <c r="AM70" s="172"/>
      <c r="AN70" s="172"/>
      <c r="AO70" s="172"/>
    </row>
    <row r="71" spans="2:41">
      <c r="B71" s="173" t="s">
        <v>191</v>
      </c>
      <c r="C71" s="172" t="str">
        <f>+IF(C25&lt;C26,"Brak pokrycia","OK.")</f>
        <v>OK.</v>
      </c>
      <c r="D71" s="172" t="str">
        <f t="shared" ref="D71:AO71" si="29">+IF(D25&lt;D26,"Brak pokrycia","OK.")</f>
        <v>OK.</v>
      </c>
      <c r="E71" s="172" t="str">
        <f t="shared" si="29"/>
        <v>OK.</v>
      </c>
      <c r="F71" s="172" t="str">
        <f t="shared" si="29"/>
        <v>OK.</v>
      </c>
      <c r="G71" s="172" t="str">
        <f t="shared" si="29"/>
        <v>OK.</v>
      </c>
      <c r="H71" s="172" t="str">
        <f t="shared" si="29"/>
        <v>OK.</v>
      </c>
      <c r="I71" s="172" t="str">
        <f t="shared" si="29"/>
        <v>OK.</v>
      </c>
      <c r="J71" s="172" t="str">
        <f t="shared" si="29"/>
        <v>OK.</v>
      </c>
      <c r="K71" s="172" t="str">
        <f t="shared" si="29"/>
        <v>OK.</v>
      </c>
      <c r="L71" s="172" t="str">
        <f t="shared" si="29"/>
        <v>OK.</v>
      </c>
      <c r="M71" s="172" t="str">
        <f t="shared" si="29"/>
        <v>OK.</v>
      </c>
      <c r="N71" s="172" t="str">
        <f t="shared" si="29"/>
        <v>OK.</v>
      </c>
      <c r="O71" s="172" t="str">
        <f t="shared" si="29"/>
        <v>OK.</v>
      </c>
      <c r="P71" s="172" t="str">
        <f t="shared" si="29"/>
        <v>OK.</v>
      </c>
      <c r="Q71" s="172" t="str">
        <f t="shared" si="29"/>
        <v>OK.</v>
      </c>
      <c r="R71" s="172" t="str">
        <f t="shared" si="29"/>
        <v>OK.</v>
      </c>
      <c r="S71" s="172" t="str">
        <f t="shared" si="29"/>
        <v>OK.</v>
      </c>
      <c r="T71" s="172" t="str">
        <f t="shared" si="29"/>
        <v>OK.</v>
      </c>
      <c r="U71" s="172" t="str">
        <f t="shared" si="29"/>
        <v>OK.</v>
      </c>
      <c r="V71" s="172" t="str">
        <f t="shared" si="29"/>
        <v>OK.</v>
      </c>
      <c r="W71" s="172" t="str">
        <f t="shared" si="29"/>
        <v>OK.</v>
      </c>
      <c r="X71" s="172" t="str">
        <f t="shared" si="29"/>
        <v>OK.</v>
      </c>
      <c r="Y71" s="172" t="str">
        <f t="shared" si="29"/>
        <v>OK.</v>
      </c>
      <c r="Z71" s="172" t="str">
        <f t="shared" si="29"/>
        <v>OK.</v>
      </c>
      <c r="AA71" s="172" t="str">
        <f t="shared" si="29"/>
        <v>OK.</v>
      </c>
      <c r="AB71" s="172" t="str">
        <f t="shared" si="29"/>
        <v>OK.</v>
      </c>
      <c r="AC71" s="172" t="str">
        <f t="shared" si="29"/>
        <v>OK.</v>
      </c>
      <c r="AD71" s="172" t="str">
        <f t="shared" si="29"/>
        <v>OK.</v>
      </c>
      <c r="AE71" s="172" t="str">
        <f t="shared" si="29"/>
        <v>OK.</v>
      </c>
      <c r="AF71" s="172" t="str">
        <f t="shared" si="29"/>
        <v>OK.</v>
      </c>
      <c r="AG71" s="172" t="str">
        <f t="shared" si="29"/>
        <v>OK.</v>
      </c>
      <c r="AH71" s="172" t="str">
        <f t="shared" si="29"/>
        <v>OK.</v>
      </c>
      <c r="AI71" s="172" t="str">
        <f t="shared" si="29"/>
        <v>OK.</v>
      </c>
      <c r="AJ71" s="172" t="str">
        <f t="shared" si="29"/>
        <v>OK.</v>
      </c>
      <c r="AK71" s="172" t="str">
        <f t="shared" si="29"/>
        <v>OK.</v>
      </c>
      <c r="AL71" s="172" t="str">
        <f t="shared" si="29"/>
        <v>OK.</v>
      </c>
      <c r="AM71" s="172" t="str">
        <f t="shared" si="29"/>
        <v>OK.</v>
      </c>
      <c r="AN71" s="172" t="str">
        <f t="shared" si="29"/>
        <v>OK.</v>
      </c>
      <c r="AO71" s="172" t="str">
        <f t="shared" si="29"/>
        <v>OK.</v>
      </c>
    </row>
    <row r="72" spans="2:41">
      <c r="B72" s="173" t="s">
        <v>172</v>
      </c>
      <c r="C72" s="172" t="str">
        <f t="shared" ref="C72:AO72" si="30">+IF(C27&lt;C28,"Brak pokrycia","OK.")</f>
        <v>OK.</v>
      </c>
      <c r="D72" s="172" t="str">
        <f t="shared" si="30"/>
        <v>OK.</v>
      </c>
      <c r="E72" s="172" t="str">
        <f t="shared" si="30"/>
        <v>OK.</v>
      </c>
      <c r="F72" s="172" t="str">
        <f t="shared" si="30"/>
        <v>OK.</v>
      </c>
      <c r="G72" s="172" t="str">
        <f t="shared" si="30"/>
        <v>OK.</v>
      </c>
      <c r="H72" s="172" t="str">
        <f t="shared" si="30"/>
        <v>OK.</v>
      </c>
      <c r="I72" s="172" t="str">
        <f t="shared" si="30"/>
        <v>OK.</v>
      </c>
      <c r="J72" s="172" t="str">
        <f t="shared" si="30"/>
        <v>OK.</v>
      </c>
      <c r="K72" s="172" t="str">
        <f t="shared" si="30"/>
        <v>OK.</v>
      </c>
      <c r="L72" s="172" t="str">
        <f t="shared" si="30"/>
        <v>OK.</v>
      </c>
      <c r="M72" s="172" t="str">
        <f t="shared" si="30"/>
        <v>OK.</v>
      </c>
      <c r="N72" s="172" t="str">
        <f t="shared" si="30"/>
        <v>OK.</v>
      </c>
      <c r="O72" s="172" t="str">
        <f t="shared" si="30"/>
        <v>OK.</v>
      </c>
      <c r="P72" s="172" t="str">
        <f t="shared" si="30"/>
        <v>OK.</v>
      </c>
      <c r="Q72" s="172" t="str">
        <f t="shared" si="30"/>
        <v>OK.</v>
      </c>
      <c r="R72" s="172" t="str">
        <f t="shared" si="30"/>
        <v>OK.</v>
      </c>
      <c r="S72" s="172" t="str">
        <f t="shared" si="30"/>
        <v>OK.</v>
      </c>
      <c r="T72" s="172" t="str">
        <f t="shared" si="30"/>
        <v>OK.</v>
      </c>
      <c r="U72" s="172" t="str">
        <f t="shared" si="30"/>
        <v>OK.</v>
      </c>
      <c r="V72" s="172" t="str">
        <f t="shared" si="30"/>
        <v>OK.</v>
      </c>
      <c r="W72" s="172" t="str">
        <f t="shared" si="30"/>
        <v>OK.</v>
      </c>
      <c r="X72" s="172" t="str">
        <f t="shared" si="30"/>
        <v>OK.</v>
      </c>
      <c r="Y72" s="172" t="str">
        <f t="shared" si="30"/>
        <v>OK.</v>
      </c>
      <c r="Z72" s="172" t="str">
        <f t="shared" si="30"/>
        <v>OK.</v>
      </c>
      <c r="AA72" s="172" t="str">
        <f t="shared" si="30"/>
        <v>OK.</v>
      </c>
      <c r="AB72" s="172" t="str">
        <f t="shared" si="30"/>
        <v>OK.</v>
      </c>
      <c r="AC72" s="172" t="str">
        <f t="shared" si="30"/>
        <v>OK.</v>
      </c>
      <c r="AD72" s="172" t="str">
        <f t="shared" si="30"/>
        <v>OK.</v>
      </c>
      <c r="AE72" s="172" t="str">
        <f t="shared" si="30"/>
        <v>OK.</v>
      </c>
      <c r="AF72" s="172" t="str">
        <f t="shared" si="30"/>
        <v>OK.</v>
      </c>
      <c r="AG72" s="172" t="str">
        <f t="shared" si="30"/>
        <v>OK.</v>
      </c>
      <c r="AH72" s="172" t="str">
        <f t="shared" si="30"/>
        <v>OK.</v>
      </c>
      <c r="AI72" s="172" t="str">
        <f t="shared" si="30"/>
        <v>OK.</v>
      </c>
      <c r="AJ72" s="172" t="str">
        <f t="shared" si="30"/>
        <v>OK.</v>
      </c>
      <c r="AK72" s="172" t="str">
        <f t="shared" si="30"/>
        <v>OK.</v>
      </c>
      <c r="AL72" s="172" t="str">
        <f t="shared" si="30"/>
        <v>OK.</v>
      </c>
      <c r="AM72" s="172" t="str">
        <f t="shared" si="30"/>
        <v>OK.</v>
      </c>
      <c r="AN72" s="172" t="str">
        <f t="shared" si="30"/>
        <v>OK.</v>
      </c>
      <c r="AO72" s="172" t="str">
        <f t="shared" si="30"/>
        <v>OK.</v>
      </c>
    </row>
    <row r="73" spans="2:41">
      <c r="B73" s="173" t="s">
        <v>171</v>
      </c>
      <c r="C73" s="172" t="str">
        <f t="shared" ref="C73:AO73" si="31">+IF(C29&lt;C30,"Brak pokrycia","OK.")</f>
        <v>OK.</v>
      </c>
      <c r="D73" s="172" t="str">
        <f t="shared" si="31"/>
        <v>OK.</v>
      </c>
      <c r="E73" s="172" t="str">
        <f t="shared" si="31"/>
        <v>OK.</v>
      </c>
      <c r="F73" s="172" t="str">
        <f t="shared" si="31"/>
        <v>OK.</v>
      </c>
      <c r="G73" s="172" t="str">
        <f t="shared" si="31"/>
        <v>OK.</v>
      </c>
      <c r="H73" s="172" t="str">
        <f t="shared" si="31"/>
        <v>OK.</v>
      </c>
      <c r="I73" s="172" t="str">
        <f t="shared" si="31"/>
        <v>OK.</v>
      </c>
      <c r="J73" s="172" t="str">
        <f t="shared" si="31"/>
        <v>OK.</v>
      </c>
      <c r="K73" s="172" t="str">
        <f t="shared" si="31"/>
        <v>OK.</v>
      </c>
      <c r="L73" s="172" t="str">
        <f t="shared" si="31"/>
        <v>OK.</v>
      </c>
      <c r="M73" s="172" t="str">
        <f t="shared" si="31"/>
        <v>OK.</v>
      </c>
      <c r="N73" s="172" t="str">
        <f t="shared" si="31"/>
        <v>OK.</v>
      </c>
      <c r="O73" s="172" t="str">
        <f t="shared" si="31"/>
        <v>OK.</v>
      </c>
      <c r="P73" s="172" t="str">
        <f t="shared" si="31"/>
        <v>OK.</v>
      </c>
      <c r="Q73" s="172" t="str">
        <f t="shared" si="31"/>
        <v>OK.</v>
      </c>
      <c r="R73" s="172" t="str">
        <f t="shared" si="31"/>
        <v>OK.</v>
      </c>
      <c r="S73" s="172" t="str">
        <f t="shared" si="31"/>
        <v>OK.</v>
      </c>
      <c r="T73" s="172" t="str">
        <f t="shared" si="31"/>
        <v>OK.</v>
      </c>
      <c r="U73" s="172" t="str">
        <f t="shared" si="31"/>
        <v>OK.</v>
      </c>
      <c r="V73" s="172" t="str">
        <f t="shared" si="31"/>
        <v>OK.</v>
      </c>
      <c r="W73" s="172" t="str">
        <f t="shared" si="31"/>
        <v>OK.</v>
      </c>
      <c r="X73" s="172" t="str">
        <f t="shared" si="31"/>
        <v>OK.</v>
      </c>
      <c r="Y73" s="172" t="str">
        <f t="shared" si="31"/>
        <v>OK.</v>
      </c>
      <c r="Z73" s="172" t="str">
        <f t="shared" si="31"/>
        <v>OK.</v>
      </c>
      <c r="AA73" s="172" t="str">
        <f t="shared" si="31"/>
        <v>OK.</v>
      </c>
      <c r="AB73" s="172" t="str">
        <f t="shared" si="31"/>
        <v>OK.</v>
      </c>
      <c r="AC73" s="172" t="str">
        <f t="shared" si="31"/>
        <v>OK.</v>
      </c>
      <c r="AD73" s="172" t="str">
        <f t="shared" si="31"/>
        <v>OK.</v>
      </c>
      <c r="AE73" s="172" t="str">
        <f t="shared" si="31"/>
        <v>OK.</v>
      </c>
      <c r="AF73" s="172" t="str">
        <f t="shared" si="31"/>
        <v>OK.</v>
      </c>
      <c r="AG73" s="172" t="str">
        <f t="shared" si="31"/>
        <v>OK.</v>
      </c>
      <c r="AH73" s="172" t="str">
        <f t="shared" si="31"/>
        <v>OK.</v>
      </c>
      <c r="AI73" s="172" t="str">
        <f t="shared" si="31"/>
        <v>OK.</v>
      </c>
      <c r="AJ73" s="172" t="str">
        <f t="shared" si="31"/>
        <v>OK.</v>
      </c>
      <c r="AK73" s="172" t="str">
        <f t="shared" si="31"/>
        <v>OK.</v>
      </c>
      <c r="AL73" s="172" t="str">
        <f t="shared" si="31"/>
        <v>OK.</v>
      </c>
      <c r="AM73" s="172" t="str">
        <f t="shared" si="31"/>
        <v>OK.</v>
      </c>
      <c r="AN73" s="172" t="str">
        <f t="shared" si="31"/>
        <v>OK.</v>
      </c>
      <c r="AO73" s="172" t="str">
        <f t="shared" si="31"/>
        <v>OK.</v>
      </c>
    </row>
    <row r="74" spans="2:41">
      <c r="B74" s="174"/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</row>
    <row r="75" spans="2:41" ht="22.5">
      <c r="B75" s="170" t="s">
        <v>174</v>
      </c>
      <c r="C75" s="175" t="s">
        <v>168</v>
      </c>
      <c r="D75" s="169" t="str">
        <f t="shared" ref="D75:AO75" si="32">+IF(ROUND(C35+D27-D32-D35,4)=0,"OK.",ROUND(D35- (C35+D27-D32),4))</f>
        <v>OK.</v>
      </c>
      <c r="E75" s="169" t="str">
        <f t="shared" si="32"/>
        <v>OK.</v>
      </c>
      <c r="F75" s="169" t="str">
        <f t="shared" si="32"/>
        <v>OK.</v>
      </c>
      <c r="G75" s="169" t="str">
        <f t="shared" si="32"/>
        <v>OK.</v>
      </c>
      <c r="H75" s="169" t="str">
        <f t="shared" si="32"/>
        <v>OK.</v>
      </c>
      <c r="I75" s="169" t="str">
        <f t="shared" si="32"/>
        <v>OK.</v>
      </c>
      <c r="J75" s="169" t="str">
        <f t="shared" si="32"/>
        <v>OK.</v>
      </c>
      <c r="K75" s="169" t="str">
        <f t="shared" si="32"/>
        <v>OK.</v>
      </c>
      <c r="L75" s="169" t="str">
        <f t="shared" si="32"/>
        <v>OK.</v>
      </c>
      <c r="M75" s="169" t="str">
        <f t="shared" si="32"/>
        <v>OK.</v>
      </c>
      <c r="N75" s="169" t="str">
        <f t="shared" si="32"/>
        <v>OK.</v>
      </c>
      <c r="O75" s="169" t="str">
        <f t="shared" si="32"/>
        <v>OK.</v>
      </c>
      <c r="P75" s="169" t="str">
        <f t="shared" si="32"/>
        <v>OK.</v>
      </c>
      <c r="Q75" s="169" t="str">
        <f t="shared" si="32"/>
        <v>OK.</v>
      </c>
      <c r="R75" s="169" t="str">
        <f t="shared" si="32"/>
        <v>OK.</v>
      </c>
      <c r="S75" s="169" t="str">
        <f t="shared" si="32"/>
        <v>OK.</v>
      </c>
      <c r="T75" s="169" t="str">
        <f t="shared" si="32"/>
        <v>OK.</v>
      </c>
      <c r="U75" s="169" t="str">
        <f t="shared" si="32"/>
        <v>OK.</v>
      </c>
      <c r="V75" s="169" t="str">
        <f t="shared" si="32"/>
        <v>OK.</v>
      </c>
      <c r="W75" s="169" t="str">
        <f t="shared" si="32"/>
        <v>OK.</v>
      </c>
      <c r="X75" s="169" t="str">
        <f t="shared" si="32"/>
        <v>OK.</v>
      </c>
      <c r="Y75" s="169" t="str">
        <f t="shared" si="32"/>
        <v>OK.</v>
      </c>
      <c r="Z75" s="169" t="str">
        <f t="shared" si="32"/>
        <v>OK.</v>
      </c>
      <c r="AA75" s="169" t="str">
        <f t="shared" si="32"/>
        <v>OK.</v>
      </c>
      <c r="AB75" s="169" t="str">
        <f t="shared" si="32"/>
        <v>OK.</v>
      </c>
      <c r="AC75" s="169" t="str">
        <f t="shared" si="32"/>
        <v>OK.</v>
      </c>
      <c r="AD75" s="169" t="str">
        <f t="shared" si="32"/>
        <v>OK.</v>
      </c>
      <c r="AE75" s="169" t="str">
        <f t="shared" si="32"/>
        <v>OK.</v>
      </c>
      <c r="AF75" s="169" t="str">
        <f t="shared" si="32"/>
        <v>OK.</v>
      </c>
      <c r="AG75" s="169" t="str">
        <f t="shared" si="32"/>
        <v>OK.</v>
      </c>
      <c r="AH75" s="169" t="str">
        <f t="shared" si="32"/>
        <v>OK.</v>
      </c>
      <c r="AI75" s="169" t="str">
        <f t="shared" si="32"/>
        <v>OK.</v>
      </c>
      <c r="AJ75" s="169" t="str">
        <f t="shared" si="32"/>
        <v>OK.</v>
      </c>
      <c r="AK75" s="169" t="str">
        <f t="shared" si="32"/>
        <v>OK.</v>
      </c>
      <c r="AL75" s="169" t="str">
        <f t="shared" si="32"/>
        <v>OK.</v>
      </c>
      <c r="AM75" s="169" t="str">
        <f t="shared" si="32"/>
        <v>OK.</v>
      </c>
      <c r="AN75" s="169" t="str">
        <f t="shared" si="32"/>
        <v>OK.</v>
      </c>
      <c r="AO75" s="169" t="str">
        <f t="shared" si="32"/>
        <v>OK.</v>
      </c>
    </row>
    <row r="76" spans="2:41" ht="22.5">
      <c r="B76" s="176" t="s">
        <v>181</v>
      </c>
      <c r="C76" s="172" t="str">
        <f>+IF(C35&lt;C37,"Za wysoka","OK.")</f>
        <v>OK.</v>
      </c>
      <c r="D76" s="172" t="str">
        <f t="shared" ref="D76:AO76" si="33">+IF(D35&lt;D37,"Za wysoka","OK.")</f>
        <v>OK.</v>
      </c>
      <c r="E76" s="172" t="str">
        <f t="shared" si="33"/>
        <v>OK.</v>
      </c>
      <c r="F76" s="172" t="str">
        <f t="shared" si="33"/>
        <v>OK.</v>
      </c>
      <c r="G76" s="172" t="str">
        <f t="shared" si="33"/>
        <v>OK.</v>
      </c>
      <c r="H76" s="172" t="str">
        <f t="shared" si="33"/>
        <v>OK.</v>
      </c>
      <c r="I76" s="172" t="str">
        <f t="shared" si="33"/>
        <v>OK.</v>
      </c>
      <c r="J76" s="172" t="str">
        <f t="shared" si="33"/>
        <v>OK.</v>
      </c>
      <c r="K76" s="172" t="str">
        <f t="shared" si="33"/>
        <v>OK.</v>
      </c>
      <c r="L76" s="172" t="str">
        <f t="shared" si="33"/>
        <v>OK.</v>
      </c>
      <c r="M76" s="172" t="str">
        <f t="shared" si="33"/>
        <v>OK.</v>
      </c>
      <c r="N76" s="172" t="str">
        <f t="shared" si="33"/>
        <v>OK.</v>
      </c>
      <c r="O76" s="172" t="str">
        <f t="shared" si="33"/>
        <v>OK.</v>
      </c>
      <c r="P76" s="172" t="str">
        <f t="shared" si="33"/>
        <v>OK.</v>
      </c>
      <c r="Q76" s="172" t="str">
        <f t="shared" si="33"/>
        <v>OK.</v>
      </c>
      <c r="R76" s="172" t="str">
        <f t="shared" si="33"/>
        <v>OK.</v>
      </c>
      <c r="S76" s="172" t="str">
        <f t="shared" si="33"/>
        <v>OK.</v>
      </c>
      <c r="T76" s="172" t="str">
        <f t="shared" si="33"/>
        <v>OK.</v>
      </c>
      <c r="U76" s="172" t="str">
        <f t="shared" si="33"/>
        <v>OK.</v>
      </c>
      <c r="V76" s="172" t="str">
        <f t="shared" si="33"/>
        <v>OK.</v>
      </c>
      <c r="W76" s="172" t="str">
        <f t="shared" si="33"/>
        <v>OK.</v>
      </c>
      <c r="X76" s="172" t="str">
        <f t="shared" si="33"/>
        <v>OK.</v>
      </c>
      <c r="Y76" s="172" t="str">
        <f t="shared" si="33"/>
        <v>OK.</v>
      </c>
      <c r="Z76" s="172" t="str">
        <f t="shared" si="33"/>
        <v>OK.</v>
      </c>
      <c r="AA76" s="172" t="str">
        <f t="shared" si="33"/>
        <v>OK.</v>
      </c>
      <c r="AB76" s="172" t="str">
        <f t="shared" si="33"/>
        <v>OK.</v>
      </c>
      <c r="AC76" s="172" t="str">
        <f t="shared" si="33"/>
        <v>OK.</v>
      </c>
      <c r="AD76" s="172" t="str">
        <f t="shared" si="33"/>
        <v>OK.</v>
      </c>
      <c r="AE76" s="172" t="str">
        <f t="shared" si="33"/>
        <v>OK.</v>
      </c>
      <c r="AF76" s="172" t="str">
        <f t="shared" si="33"/>
        <v>OK.</v>
      </c>
      <c r="AG76" s="172" t="str">
        <f t="shared" si="33"/>
        <v>OK.</v>
      </c>
      <c r="AH76" s="172" t="str">
        <f t="shared" si="33"/>
        <v>OK.</v>
      </c>
      <c r="AI76" s="172" t="str">
        <f t="shared" si="33"/>
        <v>OK.</v>
      </c>
      <c r="AJ76" s="172" t="str">
        <f t="shared" si="33"/>
        <v>OK.</v>
      </c>
      <c r="AK76" s="172" t="str">
        <f t="shared" si="33"/>
        <v>OK.</v>
      </c>
      <c r="AL76" s="172" t="str">
        <f t="shared" si="33"/>
        <v>OK.</v>
      </c>
      <c r="AM76" s="172" t="str">
        <f t="shared" si="33"/>
        <v>OK.</v>
      </c>
      <c r="AN76" s="172" t="str">
        <f t="shared" si="33"/>
        <v>OK.</v>
      </c>
      <c r="AO76" s="172" t="str">
        <f t="shared" si="33"/>
        <v>OK.</v>
      </c>
    </row>
    <row r="77" spans="2:41" ht="22.5">
      <c r="B77" s="176" t="s">
        <v>176</v>
      </c>
      <c r="C77" s="169" t="str">
        <f>+IF(C32&lt;C33,"Za wysoka","OK.")</f>
        <v>OK.</v>
      </c>
      <c r="D77" s="169" t="str">
        <f t="shared" ref="D77:AO77" si="34">+IF(D32&lt;D33,"Za wysoka","OK.")</f>
        <v>OK.</v>
      </c>
      <c r="E77" s="169" t="str">
        <f t="shared" si="34"/>
        <v>OK.</v>
      </c>
      <c r="F77" s="169" t="str">
        <f t="shared" si="34"/>
        <v>OK.</v>
      </c>
      <c r="G77" s="169" t="str">
        <f t="shared" si="34"/>
        <v>OK.</v>
      </c>
      <c r="H77" s="169" t="str">
        <f t="shared" si="34"/>
        <v>OK.</v>
      </c>
      <c r="I77" s="169" t="str">
        <f t="shared" si="34"/>
        <v>OK.</v>
      </c>
      <c r="J77" s="169" t="str">
        <f t="shared" si="34"/>
        <v>OK.</v>
      </c>
      <c r="K77" s="169" t="str">
        <f t="shared" si="34"/>
        <v>OK.</v>
      </c>
      <c r="L77" s="169" t="str">
        <f t="shared" si="34"/>
        <v>OK.</v>
      </c>
      <c r="M77" s="169" t="str">
        <f t="shared" si="34"/>
        <v>OK.</v>
      </c>
      <c r="N77" s="169" t="str">
        <f t="shared" si="34"/>
        <v>OK.</v>
      </c>
      <c r="O77" s="169" t="str">
        <f t="shared" si="34"/>
        <v>OK.</v>
      </c>
      <c r="P77" s="169" t="str">
        <f t="shared" si="34"/>
        <v>OK.</v>
      </c>
      <c r="Q77" s="169" t="str">
        <f t="shared" si="34"/>
        <v>OK.</v>
      </c>
      <c r="R77" s="169" t="str">
        <f t="shared" si="34"/>
        <v>OK.</v>
      </c>
      <c r="S77" s="169" t="str">
        <f t="shared" si="34"/>
        <v>OK.</v>
      </c>
      <c r="T77" s="169" t="str">
        <f t="shared" si="34"/>
        <v>OK.</v>
      </c>
      <c r="U77" s="169" t="str">
        <f t="shared" si="34"/>
        <v>OK.</v>
      </c>
      <c r="V77" s="169" t="str">
        <f t="shared" si="34"/>
        <v>OK.</v>
      </c>
      <c r="W77" s="169" t="str">
        <f t="shared" si="34"/>
        <v>OK.</v>
      </c>
      <c r="X77" s="169" t="str">
        <f t="shared" si="34"/>
        <v>OK.</v>
      </c>
      <c r="Y77" s="169" t="str">
        <f t="shared" si="34"/>
        <v>OK.</v>
      </c>
      <c r="Z77" s="169" t="str">
        <f t="shared" si="34"/>
        <v>OK.</v>
      </c>
      <c r="AA77" s="169" t="str">
        <f t="shared" si="34"/>
        <v>OK.</v>
      </c>
      <c r="AB77" s="169" t="str">
        <f t="shared" si="34"/>
        <v>OK.</v>
      </c>
      <c r="AC77" s="169" t="str">
        <f t="shared" si="34"/>
        <v>OK.</v>
      </c>
      <c r="AD77" s="169" t="str">
        <f t="shared" si="34"/>
        <v>OK.</v>
      </c>
      <c r="AE77" s="169" t="str">
        <f t="shared" si="34"/>
        <v>OK.</v>
      </c>
      <c r="AF77" s="169" t="str">
        <f t="shared" si="34"/>
        <v>OK.</v>
      </c>
      <c r="AG77" s="169" t="str">
        <f t="shared" si="34"/>
        <v>OK.</v>
      </c>
      <c r="AH77" s="169" t="str">
        <f t="shared" si="34"/>
        <v>OK.</v>
      </c>
      <c r="AI77" s="169" t="str">
        <f t="shared" si="34"/>
        <v>OK.</v>
      </c>
      <c r="AJ77" s="169" t="str">
        <f t="shared" si="34"/>
        <v>OK.</v>
      </c>
      <c r="AK77" s="169" t="str">
        <f t="shared" si="34"/>
        <v>OK.</v>
      </c>
      <c r="AL77" s="169" t="str">
        <f t="shared" si="34"/>
        <v>OK.</v>
      </c>
      <c r="AM77" s="169" t="str">
        <f t="shared" si="34"/>
        <v>OK.</v>
      </c>
      <c r="AN77" s="169" t="str">
        <f t="shared" si="34"/>
        <v>OK.</v>
      </c>
      <c r="AO77" s="169" t="str">
        <f t="shared" si="34"/>
        <v>OK.</v>
      </c>
    </row>
    <row r="78" spans="2:41" ht="22.5">
      <c r="B78" s="176" t="s">
        <v>175</v>
      </c>
      <c r="C78" s="172" t="str">
        <f>+IF(C16&lt;C17,"Za wysoka","OK.")</f>
        <v>OK.</v>
      </c>
      <c r="D78" s="172" t="str">
        <f t="shared" ref="D78:AO78" si="35">+IF(D16&lt;D17,"Za wysoka","OK.")</f>
        <v>OK.</v>
      </c>
      <c r="E78" s="172" t="str">
        <f t="shared" si="35"/>
        <v>OK.</v>
      </c>
      <c r="F78" s="172" t="str">
        <f t="shared" si="35"/>
        <v>OK.</v>
      </c>
      <c r="G78" s="172" t="str">
        <f t="shared" si="35"/>
        <v>OK.</v>
      </c>
      <c r="H78" s="172" t="str">
        <f t="shared" si="35"/>
        <v>OK.</v>
      </c>
      <c r="I78" s="172" t="str">
        <f t="shared" si="35"/>
        <v>OK.</v>
      </c>
      <c r="J78" s="172" t="str">
        <f t="shared" si="35"/>
        <v>OK.</v>
      </c>
      <c r="K78" s="172" t="str">
        <f t="shared" si="35"/>
        <v>OK.</v>
      </c>
      <c r="L78" s="172" t="str">
        <f t="shared" si="35"/>
        <v>OK.</v>
      </c>
      <c r="M78" s="172" t="str">
        <f t="shared" si="35"/>
        <v>OK.</v>
      </c>
      <c r="N78" s="172" t="str">
        <f t="shared" si="35"/>
        <v>OK.</v>
      </c>
      <c r="O78" s="172" t="str">
        <f t="shared" si="35"/>
        <v>OK.</v>
      </c>
      <c r="P78" s="172" t="str">
        <f t="shared" si="35"/>
        <v>OK.</v>
      </c>
      <c r="Q78" s="172" t="str">
        <f t="shared" si="35"/>
        <v>OK.</v>
      </c>
      <c r="R78" s="172" t="str">
        <f t="shared" si="35"/>
        <v>OK.</v>
      </c>
      <c r="S78" s="172" t="str">
        <f t="shared" si="35"/>
        <v>OK.</v>
      </c>
      <c r="T78" s="172" t="str">
        <f t="shared" si="35"/>
        <v>OK.</v>
      </c>
      <c r="U78" s="172" t="str">
        <f t="shared" si="35"/>
        <v>OK.</v>
      </c>
      <c r="V78" s="172" t="str">
        <f t="shared" si="35"/>
        <v>OK.</v>
      </c>
      <c r="W78" s="172" t="str">
        <f t="shared" si="35"/>
        <v>OK.</v>
      </c>
      <c r="X78" s="172" t="str">
        <f t="shared" si="35"/>
        <v>OK.</v>
      </c>
      <c r="Y78" s="172" t="str">
        <f t="shared" si="35"/>
        <v>OK.</v>
      </c>
      <c r="Z78" s="172" t="str">
        <f t="shared" si="35"/>
        <v>OK.</v>
      </c>
      <c r="AA78" s="172" t="str">
        <f t="shared" si="35"/>
        <v>OK.</v>
      </c>
      <c r="AB78" s="172" t="str">
        <f t="shared" si="35"/>
        <v>OK.</v>
      </c>
      <c r="AC78" s="172" t="str">
        <f t="shared" si="35"/>
        <v>OK.</v>
      </c>
      <c r="AD78" s="172" t="str">
        <f t="shared" si="35"/>
        <v>OK.</v>
      </c>
      <c r="AE78" s="172" t="str">
        <f t="shared" si="35"/>
        <v>OK.</v>
      </c>
      <c r="AF78" s="172" t="str">
        <f t="shared" si="35"/>
        <v>OK.</v>
      </c>
      <c r="AG78" s="172" t="str">
        <f t="shared" si="35"/>
        <v>OK.</v>
      </c>
      <c r="AH78" s="172" t="str">
        <f t="shared" si="35"/>
        <v>OK.</v>
      </c>
      <c r="AI78" s="172" t="str">
        <f t="shared" si="35"/>
        <v>OK.</v>
      </c>
      <c r="AJ78" s="172" t="str">
        <f t="shared" si="35"/>
        <v>OK.</v>
      </c>
      <c r="AK78" s="172" t="str">
        <f t="shared" si="35"/>
        <v>OK.</v>
      </c>
      <c r="AL78" s="172" t="str">
        <f t="shared" si="35"/>
        <v>OK.</v>
      </c>
      <c r="AM78" s="172" t="str">
        <f t="shared" si="35"/>
        <v>OK.</v>
      </c>
      <c r="AN78" s="172" t="str">
        <f t="shared" si="35"/>
        <v>OK.</v>
      </c>
      <c r="AO78" s="172" t="str">
        <f t="shared" si="35"/>
        <v>OK.</v>
      </c>
    </row>
    <row r="79" spans="2:41" ht="22.5">
      <c r="B79" s="176" t="s">
        <v>180</v>
      </c>
      <c r="C79" s="172" t="str">
        <f>+IF(C35&lt;C36,"Za wysoka","OK.")</f>
        <v>OK.</v>
      </c>
      <c r="D79" s="172" t="str">
        <f t="shared" ref="D79:AO79" si="36">+IF(D35&lt;D36,"Za wysoka","OK.")</f>
        <v>OK.</v>
      </c>
      <c r="E79" s="172" t="str">
        <f t="shared" si="36"/>
        <v>OK.</v>
      </c>
      <c r="F79" s="172" t="str">
        <f t="shared" si="36"/>
        <v>OK.</v>
      </c>
      <c r="G79" s="172" t="str">
        <f t="shared" si="36"/>
        <v>OK.</v>
      </c>
      <c r="H79" s="172" t="str">
        <f t="shared" si="36"/>
        <v>OK.</v>
      </c>
      <c r="I79" s="172" t="str">
        <f t="shared" si="36"/>
        <v>OK.</v>
      </c>
      <c r="J79" s="172" t="str">
        <f t="shared" si="36"/>
        <v>OK.</v>
      </c>
      <c r="K79" s="172" t="str">
        <f t="shared" si="36"/>
        <v>OK.</v>
      </c>
      <c r="L79" s="172" t="str">
        <f t="shared" si="36"/>
        <v>OK.</v>
      </c>
      <c r="M79" s="172" t="str">
        <f t="shared" si="36"/>
        <v>OK.</v>
      </c>
      <c r="N79" s="172" t="str">
        <f t="shared" si="36"/>
        <v>OK.</v>
      </c>
      <c r="O79" s="172" t="str">
        <f t="shared" si="36"/>
        <v>OK.</v>
      </c>
      <c r="P79" s="172" t="str">
        <f t="shared" si="36"/>
        <v>OK.</v>
      </c>
      <c r="Q79" s="172" t="str">
        <f t="shared" si="36"/>
        <v>OK.</v>
      </c>
      <c r="R79" s="172" t="str">
        <f t="shared" si="36"/>
        <v>OK.</v>
      </c>
      <c r="S79" s="172" t="str">
        <f t="shared" si="36"/>
        <v>OK.</v>
      </c>
      <c r="T79" s="172" t="str">
        <f t="shared" si="36"/>
        <v>OK.</v>
      </c>
      <c r="U79" s="172" t="str">
        <f t="shared" si="36"/>
        <v>OK.</v>
      </c>
      <c r="V79" s="172" t="str">
        <f t="shared" si="36"/>
        <v>OK.</v>
      </c>
      <c r="W79" s="172" t="str">
        <f t="shared" si="36"/>
        <v>OK.</v>
      </c>
      <c r="X79" s="172" t="str">
        <f t="shared" si="36"/>
        <v>OK.</v>
      </c>
      <c r="Y79" s="172" t="str">
        <f t="shared" si="36"/>
        <v>OK.</v>
      </c>
      <c r="Z79" s="172" t="str">
        <f t="shared" si="36"/>
        <v>OK.</v>
      </c>
      <c r="AA79" s="172" t="str">
        <f t="shared" si="36"/>
        <v>OK.</v>
      </c>
      <c r="AB79" s="172" t="str">
        <f t="shared" si="36"/>
        <v>OK.</v>
      </c>
      <c r="AC79" s="172" t="str">
        <f t="shared" si="36"/>
        <v>OK.</v>
      </c>
      <c r="AD79" s="172" t="str">
        <f t="shared" si="36"/>
        <v>OK.</v>
      </c>
      <c r="AE79" s="172" t="str">
        <f t="shared" si="36"/>
        <v>OK.</v>
      </c>
      <c r="AF79" s="172" t="str">
        <f t="shared" si="36"/>
        <v>OK.</v>
      </c>
      <c r="AG79" s="172" t="str">
        <f t="shared" si="36"/>
        <v>OK.</v>
      </c>
      <c r="AH79" s="172" t="str">
        <f t="shared" si="36"/>
        <v>OK.</v>
      </c>
      <c r="AI79" s="172" t="str">
        <f t="shared" si="36"/>
        <v>OK.</v>
      </c>
      <c r="AJ79" s="172" t="str">
        <f t="shared" si="36"/>
        <v>OK.</v>
      </c>
      <c r="AK79" s="172" t="str">
        <f t="shared" si="36"/>
        <v>OK.</v>
      </c>
      <c r="AL79" s="172" t="str">
        <f t="shared" si="36"/>
        <v>OK.</v>
      </c>
      <c r="AM79" s="172" t="str">
        <f t="shared" si="36"/>
        <v>OK.</v>
      </c>
      <c r="AN79" s="172" t="str">
        <f t="shared" si="36"/>
        <v>OK.</v>
      </c>
      <c r="AO79" s="172" t="str">
        <f t="shared" si="36"/>
        <v>OK.</v>
      </c>
    </row>
    <row r="80" spans="2:41" ht="22.5">
      <c r="B80" s="176" t="s">
        <v>186</v>
      </c>
      <c r="C80" s="172" t="str">
        <f>+IF(C35&lt;C55,"Za wysoka","OK.")</f>
        <v>OK.</v>
      </c>
      <c r="D80" s="172" t="str">
        <f t="shared" ref="D80:AO80" si="37">+IF(D35&lt;D55,"Za wysoka","OK.")</f>
        <v>OK.</v>
      </c>
      <c r="E80" s="172" t="str">
        <f t="shared" si="37"/>
        <v>OK.</v>
      </c>
      <c r="F80" s="172" t="str">
        <f t="shared" si="37"/>
        <v>OK.</v>
      </c>
      <c r="G80" s="172" t="str">
        <f t="shared" si="37"/>
        <v>OK.</v>
      </c>
      <c r="H80" s="172" t="str">
        <f t="shared" si="37"/>
        <v>OK.</v>
      </c>
      <c r="I80" s="172" t="str">
        <f t="shared" si="37"/>
        <v>OK.</v>
      </c>
      <c r="J80" s="172" t="str">
        <f t="shared" si="37"/>
        <v>OK.</v>
      </c>
      <c r="K80" s="172" t="str">
        <f t="shared" si="37"/>
        <v>OK.</v>
      </c>
      <c r="L80" s="172" t="str">
        <f t="shared" si="37"/>
        <v>OK.</v>
      </c>
      <c r="M80" s="172" t="str">
        <f t="shared" si="37"/>
        <v>OK.</v>
      </c>
      <c r="N80" s="172" t="str">
        <f t="shared" si="37"/>
        <v>OK.</v>
      </c>
      <c r="O80" s="172" t="str">
        <f t="shared" si="37"/>
        <v>OK.</v>
      </c>
      <c r="P80" s="172" t="str">
        <f t="shared" si="37"/>
        <v>OK.</v>
      </c>
      <c r="Q80" s="172" t="str">
        <f t="shared" si="37"/>
        <v>OK.</v>
      </c>
      <c r="R80" s="172" t="str">
        <f t="shared" si="37"/>
        <v>OK.</v>
      </c>
      <c r="S80" s="172" t="str">
        <f t="shared" si="37"/>
        <v>OK.</v>
      </c>
      <c r="T80" s="172" t="str">
        <f t="shared" si="37"/>
        <v>OK.</v>
      </c>
      <c r="U80" s="172" t="str">
        <f t="shared" si="37"/>
        <v>OK.</v>
      </c>
      <c r="V80" s="172" t="str">
        <f t="shared" si="37"/>
        <v>OK.</v>
      </c>
      <c r="W80" s="172" t="str">
        <f t="shared" si="37"/>
        <v>OK.</v>
      </c>
      <c r="X80" s="172" t="str">
        <f t="shared" si="37"/>
        <v>OK.</v>
      </c>
      <c r="Y80" s="172" t="str">
        <f t="shared" si="37"/>
        <v>OK.</v>
      </c>
      <c r="Z80" s="172" t="str">
        <f t="shared" si="37"/>
        <v>OK.</v>
      </c>
      <c r="AA80" s="172" t="str">
        <f t="shared" si="37"/>
        <v>OK.</v>
      </c>
      <c r="AB80" s="172" t="str">
        <f t="shared" si="37"/>
        <v>OK.</v>
      </c>
      <c r="AC80" s="172" t="str">
        <f t="shared" si="37"/>
        <v>OK.</v>
      </c>
      <c r="AD80" s="172" t="str">
        <f t="shared" si="37"/>
        <v>OK.</v>
      </c>
      <c r="AE80" s="172" t="str">
        <f t="shared" si="37"/>
        <v>OK.</v>
      </c>
      <c r="AF80" s="172" t="str">
        <f t="shared" si="37"/>
        <v>OK.</v>
      </c>
      <c r="AG80" s="172" t="str">
        <f t="shared" si="37"/>
        <v>OK.</v>
      </c>
      <c r="AH80" s="172" t="str">
        <f t="shared" si="37"/>
        <v>OK.</v>
      </c>
      <c r="AI80" s="172" t="str">
        <f t="shared" si="37"/>
        <v>OK.</v>
      </c>
      <c r="AJ80" s="172" t="str">
        <f t="shared" si="37"/>
        <v>OK.</v>
      </c>
      <c r="AK80" s="172" t="str">
        <f t="shared" si="37"/>
        <v>OK.</v>
      </c>
      <c r="AL80" s="172" t="str">
        <f t="shared" si="37"/>
        <v>OK.</v>
      </c>
      <c r="AM80" s="172" t="str">
        <f t="shared" si="37"/>
        <v>OK.</v>
      </c>
      <c r="AN80" s="172" t="str">
        <f t="shared" si="37"/>
        <v>OK.</v>
      </c>
      <c r="AO80" s="172" t="str">
        <f t="shared" si="37"/>
        <v>OK.</v>
      </c>
    </row>
    <row r="81" spans="2:41" ht="22.5">
      <c r="B81" s="176" t="s">
        <v>187</v>
      </c>
      <c r="C81" s="172" t="str">
        <f>+IF(C55&lt;C56,"Za wysoka","OK.")</f>
        <v>OK.</v>
      </c>
      <c r="D81" s="172" t="str">
        <f t="shared" ref="D81:AO81" si="38">+IF(D55&lt;D56,"Za wysoka","OK.")</f>
        <v>OK.</v>
      </c>
      <c r="E81" s="172" t="str">
        <f t="shared" si="38"/>
        <v>OK.</v>
      </c>
      <c r="F81" s="172" t="str">
        <f t="shared" si="38"/>
        <v>OK.</v>
      </c>
      <c r="G81" s="172" t="str">
        <f t="shared" si="38"/>
        <v>OK.</v>
      </c>
      <c r="H81" s="172" t="str">
        <f t="shared" si="38"/>
        <v>OK.</v>
      </c>
      <c r="I81" s="172" t="str">
        <f t="shared" si="38"/>
        <v>OK.</v>
      </c>
      <c r="J81" s="172" t="str">
        <f t="shared" si="38"/>
        <v>OK.</v>
      </c>
      <c r="K81" s="172" t="str">
        <f t="shared" si="38"/>
        <v>OK.</v>
      </c>
      <c r="L81" s="172" t="str">
        <f t="shared" si="38"/>
        <v>OK.</v>
      </c>
      <c r="M81" s="172" t="str">
        <f t="shared" si="38"/>
        <v>OK.</v>
      </c>
      <c r="N81" s="172" t="str">
        <f t="shared" si="38"/>
        <v>OK.</v>
      </c>
      <c r="O81" s="172" t="str">
        <f t="shared" si="38"/>
        <v>OK.</v>
      </c>
      <c r="P81" s="172" t="str">
        <f t="shared" si="38"/>
        <v>OK.</v>
      </c>
      <c r="Q81" s="172" t="str">
        <f t="shared" si="38"/>
        <v>OK.</v>
      </c>
      <c r="R81" s="172" t="str">
        <f t="shared" si="38"/>
        <v>OK.</v>
      </c>
      <c r="S81" s="172" t="str">
        <f t="shared" si="38"/>
        <v>OK.</v>
      </c>
      <c r="T81" s="172" t="str">
        <f t="shared" si="38"/>
        <v>OK.</v>
      </c>
      <c r="U81" s="172" t="str">
        <f t="shared" si="38"/>
        <v>OK.</v>
      </c>
      <c r="V81" s="172" t="str">
        <f t="shared" si="38"/>
        <v>OK.</v>
      </c>
      <c r="W81" s="172" t="str">
        <f t="shared" si="38"/>
        <v>OK.</v>
      </c>
      <c r="X81" s="172" t="str">
        <f t="shared" si="38"/>
        <v>OK.</v>
      </c>
      <c r="Y81" s="172" t="str">
        <f t="shared" si="38"/>
        <v>OK.</v>
      </c>
      <c r="Z81" s="172" t="str">
        <f t="shared" si="38"/>
        <v>OK.</v>
      </c>
      <c r="AA81" s="172" t="str">
        <f t="shared" si="38"/>
        <v>OK.</v>
      </c>
      <c r="AB81" s="172" t="str">
        <f t="shared" si="38"/>
        <v>OK.</v>
      </c>
      <c r="AC81" s="172" t="str">
        <f t="shared" si="38"/>
        <v>OK.</v>
      </c>
      <c r="AD81" s="172" t="str">
        <f t="shared" si="38"/>
        <v>OK.</v>
      </c>
      <c r="AE81" s="172" t="str">
        <f t="shared" si="38"/>
        <v>OK.</v>
      </c>
      <c r="AF81" s="172" t="str">
        <f t="shared" si="38"/>
        <v>OK.</v>
      </c>
      <c r="AG81" s="172" t="str">
        <f t="shared" si="38"/>
        <v>OK.</v>
      </c>
      <c r="AH81" s="172" t="str">
        <f t="shared" si="38"/>
        <v>OK.</v>
      </c>
      <c r="AI81" s="172" t="str">
        <f t="shared" si="38"/>
        <v>OK.</v>
      </c>
      <c r="AJ81" s="172" t="str">
        <f t="shared" si="38"/>
        <v>OK.</v>
      </c>
      <c r="AK81" s="172" t="str">
        <f t="shared" si="38"/>
        <v>OK.</v>
      </c>
      <c r="AL81" s="172" t="str">
        <f t="shared" si="38"/>
        <v>OK.</v>
      </c>
      <c r="AM81" s="172" t="str">
        <f t="shared" si="38"/>
        <v>OK.</v>
      </c>
      <c r="AN81" s="172" t="str">
        <f t="shared" si="38"/>
        <v>OK.</v>
      </c>
      <c r="AO81" s="172" t="str">
        <f t="shared" si="38"/>
        <v>OK.</v>
      </c>
    </row>
    <row r="82" spans="2:41"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  <c r="AJ82" s="177"/>
      <c r="AK82" s="177"/>
      <c r="AL82" s="177"/>
      <c r="AM82" s="177"/>
      <c r="AN82" s="177"/>
      <c r="AO82" s="177"/>
    </row>
    <row r="83" spans="2:41" ht="22.5">
      <c r="B83" s="176" t="s">
        <v>177</v>
      </c>
      <c r="C83" s="172" t="str">
        <f>+IF(ROUND((C14-(C15+C16+C18)),4)&gt;0,"OK.","Błąd")</f>
        <v>OK.</v>
      </c>
      <c r="D83" s="172" t="str">
        <f t="shared" ref="D83:AO83" si="39">+IF(ROUND((D14-(D15+D16+D18)),4)&gt;0,"OK.","Błąd")</f>
        <v>OK.</v>
      </c>
      <c r="E83" s="172" t="str">
        <f t="shared" si="39"/>
        <v>OK.</v>
      </c>
      <c r="F83" s="172" t="str">
        <f t="shared" si="39"/>
        <v>OK.</v>
      </c>
      <c r="G83" s="172" t="str">
        <f t="shared" si="39"/>
        <v>OK.</v>
      </c>
      <c r="H83" s="172" t="str">
        <f t="shared" si="39"/>
        <v>OK.</v>
      </c>
      <c r="I83" s="172" t="str">
        <f t="shared" si="39"/>
        <v>OK.</v>
      </c>
      <c r="J83" s="172" t="str">
        <f t="shared" si="39"/>
        <v>OK.</v>
      </c>
      <c r="K83" s="172" t="str">
        <f t="shared" si="39"/>
        <v>OK.</v>
      </c>
      <c r="L83" s="172" t="str">
        <f t="shared" si="39"/>
        <v>OK.</v>
      </c>
      <c r="M83" s="172" t="str">
        <f t="shared" si="39"/>
        <v>OK.</v>
      </c>
      <c r="N83" s="172" t="str">
        <f t="shared" si="39"/>
        <v>OK.</v>
      </c>
      <c r="O83" s="172" t="str">
        <f t="shared" si="39"/>
        <v>OK.</v>
      </c>
      <c r="P83" s="172" t="str">
        <f t="shared" si="39"/>
        <v>OK.</v>
      </c>
      <c r="Q83" s="172" t="str">
        <f t="shared" si="39"/>
        <v>OK.</v>
      </c>
      <c r="R83" s="172" t="str">
        <f t="shared" si="39"/>
        <v>OK.</v>
      </c>
      <c r="S83" s="172" t="str">
        <f t="shared" si="39"/>
        <v>OK.</v>
      </c>
      <c r="T83" s="172" t="str">
        <f t="shared" si="39"/>
        <v>OK.</v>
      </c>
      <c r="U83" s="172" t="str">
        <f t="shared" si="39"/>
        <v>OK.</v>
      </c>
      <c r="V83" s="172" t="str">
        <f t="shared" si="39"/>
        <v>Błąd</v>
      </c>
      <c r="W83" s="172" t="str">
        <f t="shared" si="39"/>
        <v>Błąd</v>
      </c>
      <c r="X83" s="172" t="str">
        <f t="shared" si="39"/>
        <v>Błąd</v>
      </c>
      <c r="Y83" s="172" t="str">
        <f t="shared" si="39"/>
        <v>Błąd</v>
      </c>
      <c r="Z83" s="172" t="str">
        <f t="shared" si="39"/>
        <v>Błąd</v>
      </c>
      <c r="AA83" s="172" t="str">
        <f t="shared" si="39"/>
        <v>Błąd</v>
      </c>
      <c r="AB83" s="172" t="str">
        <f t="shared" si="39"/>
        <v>Błąd</v>
      </c>
      <c r="AC83" s="172" t="str">
        <f t="shared" si="39"/>
        <v>Błąd</v>
      </c>
      <c r="AD83" s="172" t="str">
        <f t="shared" si="39"/>
        <v>Błąd</v>
      </c>
      <c r="AE83" s="172" t="str">
        <f t="shared" si="39"/>
        <v>Błąd</v>
      </c>
      <c r="AF83" s="172" t="str">
        <f t="shared" si="39"/>
        <v>Błąd</v>
      </c>
      <c r="AG83" s="172" t="str">
        <f t="shared" si="39"/>
        <v>Błąd</v>
      </c>
      <c r="AH83" s="172" t="str">
        <f t="shared" si="39"/>
        <v>Błąd</v>
      </c>
      <c r="AI83" s="172" t="str">
        <f t="shared" si="39"/>
        <v>Błąd</v>
      </c>
      <c r="AJ83" s="172" t="str">
        <f t="shared" si="39"/>
        <v>Błąd</v>
      </c>
      <c r="AK83" s="172" t="str">
        <f t="shared" si="39"/>
        <v>Błąd</v>
      </c>
      <c r="AL83" s="172" t="str">
        <f t="shared" si="39"/>
        <v>Błąd</v>
      </c>
      <c r="AM83" s="172" t="str">
        <f t="shared" si="39"/>
        <v>Błąd</v>
      </c>
      <c r="AN83" s="172" t="str">
        <f t="shared" si="39"/>
        <v>Błąd</v>
      </c>
      <c r="AO83" s="172" t="str">
        <f t="shared" si="39"/>
        <v>Błąd</v>
      </c>
    </row>
    <row r="84" spans="2:41" ht="22.5">
      <c r="B84" s="176" t="s">
        <v>178</v>
      </c>
      <c r="C84" s="172" t="str">
        <f>+IF(C18&lt;C19,"Za wysokie","OK.")</f>
        <v>OK.</v>
      </c>
      <c r="D84" s="172" t="str">
        <f t="shared" ref="D84:AO84" si="40">+IF(D18&lt;D19,"Za wysokie","OK.")</f>
        <v>OK.</v>
      </c>
      <c r="E84" s="172" t="str">
        <f t="shared" si="40"/>
        <v>OK.</v>
      </c>
      <c r="F84" s="172" t="str">
        <f t="shared" si="40"/>
        <v>OK.</v>
      </c>
      <c r="G84" s="172" t="str">
        <f t="shared" si="40"/>
        <v>OK.</v>
      </c>
      <c r="H84" s="172" t="str">
        <f t="shared" si="40"/>
        <v>OK.</v>
      </c>
      <c r="I84" s="172" t="str">
        <f t="shared" si="40"/>
        <v>OK.</v>
      </c>
      <c r="J84" s="172" t="str">
        <f t="shared" si="40"/>
        <v>OK.</v>
      </c>
      <c r="K84" s="172" t="str">
        <f t="shared" si="40"/>
        <v>OK.</v>
      </c>
      <c r="L84" s="172" t="str">
        <f t="shared" si="40"/>
        <v>OK.</v>
      </c>
      <c r="M84" s="172" t="str">
        <f t="shared" si="40"/>
        <v>OK.</v>
      </c>
      <c r="N84" s="172" t="str">
        <f t="shared" si="40"/>
        <v>OK.</v>
      </c>
      <c r="O84" s="172" t="str">
        <f t="shared" si="40"/>
        <v>OK.</v>
      </c>
      <c r="P84" s="172" t="str">
        <f t="shared" si="40"/>
        <v>OK.</v>
      </c>
      <c r="Q84" s="172" t="str">
        <f t="shared" si="40"/>
        <v>OK.</v>
      </c>
      <c r="R84" s="172" t="str">
        <f t="shared" si="40"/>
        <v>OK.</v>
      </c>
      <c r="S84" s="172" t="str">
        <f t="shared" si="40"/>
        <v>OK.</v>
      </c>
      <c r="T84" s="172" t="str">
        <f t="shared" si="40"/>
        <v>OK.</v>
      </c>
      <c r="U84" s="172" t="str">
        <f t="shared" si="40"/>
        <v>OK.</v>
      </c>
      <c r="V84" s="172" t="str">
        <f t="shared" si="40"/>
        <v>OK.</v>
      </c>
      <c r="W84" s="172" t="str">
        <f t="shared" si="40"/>
        <v>OK.</v>
      </c>
      <c r="X84" s="172" t="str">
        <f t="shared" si="40"/>
        <v>OK.</v>
      </c>
      <c r="Y84" s="172" t="str">
        <f t="shared" si="40"/>
        <v>OK.</v>
      </c>
      <c r="Z84" s="172" t="str">
        <f t="shared" si="40"/>
        <v>OK.</v>
      </c>
      <c r="AA84" s="172" t="str">
        <f t="shared" si="40"/>
        <v>OK.</v>
      </c>
      <c r="AB84" s="172" t="str">
        <f t="shared" si="40"/>
        <v>OK.</v>
      </c>
      <c r="AC84" s="172" t="str">
        <f t="shared" si="40"/>
        <v>OK.</v>
      </c>
      <c r="AD84" s="172" t="str">
        <f t="shared" si="40"/>
        <v>OK.</v>
      </c>
      <c r="AE84" s="172" t="str">
        <f t="shared" si="40"/>
        <v>OK.</v>
      </c>
      <c r="AF84" s="172" t="str">
        <f t="shared" si="40"/>
        <v>OK.</v>
      </c>
      <c r="AG84" s="172" t="str">
        <f t="shared" si="40"/>
        <v>OK.</v>
      </c>
      <c r="AH84" s="172" t="str">
        <f t="shared" si="40"/>
        <v>OK.</v>
      </c>
      <c r="AI84" s="172" t="str">
        <f t="shared" si="40"/>
        <v>OK.</v>
      </c>
      <c r="AJ84" s="172" t="str">
        <f t="shared" si="40"/>
        <v>OK.</v>
      </c>
      <c r="AK84" s="172" t="str">
        <f t="shared" si="40"/>
        <v>OK.</v>
      </c>
      <c r="AL84" s="172" t="str">
        <f t="shared" si="40"/>
        <v>OK.</v>
      </c>
      <c r="AM84" s="172" t="str">
        <f t="shared" si="40"/>
        <v>OK.</v>
      </c>
      <c r="AN84" s="172" t="str">
        <f t="shared" si="40"/>
        <v>OK.</v>
      </c>
      <c r="AO84" s="172" t="str">
        <f t="shared" si="40"/>
        <v>OK.</v>
      </c>
    </row>
    <row r="85" spans="2:41"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</row>
    <row r="86" spans="2:41" ht="22.5">
      <c r="B86" s="176" t="s">
        <v>185</v>
      </c>
      <c r="C86" s="172" t="str">
        <f t="shared" ref="C86:AO86" si="41">+IF(C7&lt;C8,"Za wysokie","OK.")</f>
        <v>OK.</v>
      </c>
      <c r="D86" s="172" t="str">
        <f t="shared" si="41"/>
        <v>OK.</v>
      </c>
      <c r="E86" s="172" t="str">
        <f t="shared" si="41"/>
        <v>OK.</v>
      </c>
      <c r="F86" s="172" t="str">
        <f t="shared" si="41"/>
        <v>OK.</v>
      </c>
      <c r="G86" s="172" t="str">
        <f t="shared" si="41"/>
        <v>OK.</v>
      </c>
      <c r="H86" s="172" t="str">
        <f t="shared" si="41"/>
        <v>OK.</v>
      </c>
      <c r="I86" s="172" t="str">
        <f t="shared" si="41"/>
        <v>OK.</v>
      </c>
      <c r="J86" s="172" t="str">
        <f t="shared" si="41"/>
        <v>OK.</v>
      </c>
      <c r="K86" s="172" t="str">
        <f t="shared" si="41"/>
        <v>OK.</v>
      </c>
      <c r="L86" s="172" t="str">
        <f t="shared" si="41"/>
        <v>OK.</v>
      </c>
      <c r="M86" s="172" t="str">
        <f t="shared" si="41"/>
        <v>OK.</v>
      </c>
      <c r="N86" s="172" t="str">
        <f t="shared" si="41"/>
        <v>OK.</v>
      </c>
      <c r="O86" s="172" t="str">
        <f t="shared" si="41"/>
        <v>OK.</v>
      </c>
      <c r="P86" s="172" t="str">
        <f t="shared" si="41"/>
        <v>OK.</v>
      </c>
      <c r="Q86" s="172" t="str">
        <f t="shared" si="41"/>
        <v>OK.</v>
      </c>
      <c r="R86" s="172" t="str">
        <f t="shared" si="41"/>
        <v>OK.</v>
      </c>
      <c r="S86" s="172" t="str">
        <f t="shared" si="41"/>
        <v>OK.</v>
      </c>
      <c r="T86" s="172" t="str">
        <f t="shared" si="41"/>
        <v>OK.</v>
      </c>
      <c r="U86" s="172" t="str">
        <f t="shared" si="41"/>
        <v>OK.</v>
      </c>
      <c r="V86" s="172" t="str">
        <f t="shared" si="41"/>
        <v>OK.</v>
      </c>
      <c r="W86" s="172" t="str">
        <f t="shared" si="41"/>
        <v>OK.</v>
      </c>
      <c r="X86" s="172" t="str">
        <f t="shared" si="41"/>
        <v>OK.</v>
      </c>
      <c r="Y86" s="172" t="str">
        <f t="shared" si="41"/>
        <v>OK.</v>
      </c>
      <c r="Z86" s="172" t="str">
        <f t="shared" si="41"/>
        <v>OK.</v>
      </c>
      <c r="AA86" s="172" t="str">
        <f t="shared" si="41"/>
        <v>OK.</v>
      </c>
      <c r="AB86" s="172" t="str">
        <f t="shared" si="41"/>
        <v>OK.</v>
      </c>
      <c r="AC86" s="172" t="str">
        <f t="shared" si="41"/>
        <v>OK.</v>
      </c>
      <c r="AD86" s="172" t="str">
        <f t="shared" si="41"/>
        <v>OK.</v>
      </c>
      <c r="AE86" s="172" t="str">
        <f t="shared" si="41"/>
        <v>OK.</v>
      </c>
      <c r="AF86" s="172" t="str">
        <f t="shared" si="41"/>
        <v>OK.</v>
      </c>
      <c r="AG86" s="172" t="str">
        <f t="shared" si="41"/>
        <v>OK.</v>
      </c>
      <c r="AH86" s="172" t="str">
        <f t="shared" si="41"/>
        <v>OK.</v>
      </c>
      <c r="AI86" s="172" t="str">
        <f t="shared" si="41"/>
        <v>OK.</v>
      </c>
      <c r="AJ86" s="172" t="str">
        <f t="shared" si="41"/>
        <v>OK.</v>
      </c>
      <c r="AK86" s="172" t="str">
        <f t="shared" si="41"/>
        <v>OK.</v>
      </c>
      <c r="AL86" s="172" t="str">
        <f t="shared" si="41"/>
        <v>OK.</v>
      </c>
      <c r="AM86" s="172" t="str">
        <f t="shared" si="41"/>
        <v>OK.</v>
      </c>
      <c r="AN86" s="172" t="str">
        <f t="shared" si="41"/>
        <v>OK.</v>
      </c>
      <c r="AO86" s="172" t="str">
        <f t="shared" si="41"/>
        <v>OK.</v>
      </c>
    </row>
    <row r="87" spans="2:41" ht="22.5">
      <c r="B87" s="176" t="s">
        <v>184</v>
      </c>
      <c r="C87" s="172" t="str">
        <f t="shared" ref="C87:AO87" si="42">+IF(C9&lt;C11,"Za wysokie","OK.")</f>
        <v>OK.</v>
      </c>
      <c r="D87" s="172" t="str">
        <f t="shared" si="42"/>
        <v>OK.</v>
      </c>
      <c r="E87" s="172" t="str">
        <f t="shared" si="42"/>
        <v>OK.</v>
      </c>
      <c r="F87" s="172" t="str">
        <f t="shared" si="42"/>
        <v>OK.</v>
      </c>
      <c r="G87" s="172" t="str">
        <f t="shared" si="42"/>
        <v>OK.</v>
      </c>
      <c r="H87" s="172" t="str">
        <f t="shared" si="42"/>
        <v>OK.</v>
      </c>
      <c r="I87" s="172" t="str">
        <f t="shared" si="42"/>
        <v>OK.</v>
      </c>
      <c r="J87" s="172" t="str">
        <f t="shared" si="42"/>
        <v>OK.</v>
      </c>
      <c r="K87" s="172" t="str">
        <f t="shared" si="42"/>
        <v>OK.</v>
      </c>
      <c r="L87" s="172" t="str">
        <f t="shared" si="42"/>
        <v>OK.</v>
      </c>
      <c r="M87" s="172" t="str">
        <f t="shared" si="42"/>
        <v>OK.</v>
      </c>
      <c r="N87" s="172" t="str">
        <f t="shared" si="42"/>
        <v>OK.</v>
      </c>
      <c r="O87" s="172" t="str">
        <f t="shared" si="42"/>
        <v>OK.</v>
      </c>
      <c r="P87" s="172" t="str">
        <f t="shared" si="42"/>
        <v>OK.</v>
      </c>
      <c r="Q87" s="172" t="str">
        <f t="shared" si="42"/>
        <v>OK.</v>
      </c>
      <c r="R87" s="172" t="str">
        <f t="shared" si="42"/>
        <v>OK.</v>
      </c>
      <c r="S87" s="172" t="str">
        <f t="shared" si="42"/>
        <v>OK.</v>
      </c>
      <c r="T87" s="172" t="str">
        <f t="shared" si="42"/>
        <v>OK.</v>
      </c>
      <c r="U87" s="172" t="str">
        <f t="shared" si="42"/>
        <v>OK.</v>
      </c>
      <c r="V87" s="172" t="str">
        <f t="shared" si="42"/>
        <v>OK.</v>
      </c>
      <c r="W87" s="172" t="str">
        <f t="shared" si="42"/>
        <v>OK.</v>
      </c>
      <c r="X87" s="172" t="str">
        <f t="shared" si="42"/>
        <v>OK.</v>
      </c>
      <c r="Y87" s="172" t="str">
        <f t="shared" si="42"/>
        <v>OK.</v>
      </c>
      <c r="Z87" s="172" t="str">
        <f t="shared" si="42"/>
        <v>OK.</v>
      </c>
      <c r="AA87" s="172" t="str">
        <f t="shared" si="42"/>
        <v>OK.</v>
      </c>
      <c r="AB87" s="172" t="str">
        <f t="shared" si="42"/>
        <v>OK.</v>
      </c>
      <c r="AC87" s="172" t="str">
        <f t="shared" si="42"/>
        <v>OK.</v>
      </c>
      <c r="AD87" s="172" t="str">
        <f t="shared" si="42"/>
        <v>OK.</v>
      </c>
      <c r="AE87" s="172" t="str">
        <f t="shared" si="42"/>
        <v>OK.</v>
      </c>
      <c r="AF87" s="172" t="str">
        <f t="shared" si="42"/>
        <v>OK.</v>
      </c>
      <c r="AG87" s="172" t="str">
        <f t="shared" si="42"/>
        <v>OK.</v>
      </c>
      <c r="AH87" s="172" t="str">
        <f t="shared" si="42"/>
        <v>OK.</v>
      </c>
      <c r="AI87" s="172" t="str">
        <f t="shared" si="42"/>
        <v>OK.</v>
      </c>
      <c r="AJ87" s="172" t="str">
        <f t="shared" si="42"/>
        <v>OK.</v>
      </c>
      <c r="AK87" s="172" t="str">
        <f t="shared" si="42"/>
        <v>OK.</v>
      </c>
      <c r="AL87" s="172" t="str">
        <f t="shared" si="42"/>
        <v>OK.</v>
      </c>
      <c r="AM87" s="172" t="str">
        <f t="shared" si="42"/>
        <v>OK.</v>
      </c>
      <c r="AN87" s="172" t="str">
        <f t="shared" si="42"/>
        <v>OK.</v>
      </c>
      <c r="AO87" s="172" t="str">
        <f t="shared" si="42"/>
        <v>OK.</v>
      </c>
    </row>
    <row r="88" spans="2:41" ht="33.75">
      <c r="B88" s="176" t="s">
        <v>183</v>
      </c>
      <c r="C88" s="172" t="str">
        <f>+IF(C14&lt;C15,"Za wysokie","OK.")</f>
        <v>OK.</v>
      </c>
      <c r="D88" s="172" t="str">
        <f t="shared" ref="D88:AO88" si="43">+IF(D14&lt;D15,"Za wysokie","OK.")</f>
        <v>OK.</v>
      </c>
      <c r="E88" s="172" t="str">
        <f t="shared" si="43"/>
        <v>OK.</v>
      </c>
      <c r="F88" s="172" t="str">
        <f t="shared" si="43"/>
        <v>OK.</v>
      </c>
      <c r="G88" s="172" t="str">
        <f t="shared" si="43"/>
        <v>OK.</v>
      </c>
      <c r="H88" s="172" t="str">
        <f t="shared" si="43"/>
        <v>OK.</v>
      </c>
      <c r="I88" s="172" t="str">
        <f t="shared" si="43"/>
        <v>OK.</v>
      </c>
      <c r="J88" s="172" t="str">
        <f t="shared" si="43"/>
        <v>OK.</v>
      </c>
      <c r="K88" s="172" t="str">
        <f t="shared" si="43"/>
        <v>OK.</v>
      </c>
      <c r="L88" s="172" t="str">
        <f t="shared" si="43"/>
        <v>OK.</v>
      </c>
      <c r="M88" s="172" t="str">
        <f t="shared" si="43"/>
        <v>OK.</v>
      </c>
      <c r="N88" s="172" t="str">
        <f t="shared" si="43"/>
        <v>OK.</v>
      </c>
      <c r="O88" s="172" t="str">
        <f t="shared" si="43"/>
        <v>OK.</v>
      </c>
      <c r="P88" s="172" t="str">
        <f t="shared" si="43"/>
        <v>OK.</v>
      </c>
      <c r="Q88" s="172" t="str">
        <f t="shared" si="43"/>
        <v>OK.</v>
      </c>
      <c r="R88" s="172" t="str">
        <f t="shared" si="43"/>
        <v>OK.</v>
      </c>
      <c r="S88" s="172" t="str">
        <f t="shared" si="43"/>
        <v>OK.</v>
      </c>
      <c r="T88" s="172" t="str">
        <f t="shared" si="43"/>
        <v>OK.</v>
      </c>
      <c r="U88" s="172" t="str">
        <f t="shared" si="43"/>
        <v>OK.</v>
      </c>
      <c r="V88" s="172" t="str">
        <f t="shared" si="43"/>
        <v>OK.</v>
      </c>
      <c r="W88" s="172" t="str">
        <f t="shared" si="43"/>
        <v>OK.</v>
      </c>
      <c r="X88" s="172" t="str">
        <f t="shared" si="43"/>
        <v>OK.</v>
      </c>
      <c r="Y88" s="172" t="str">
        <f t="shared" si="43"/>
        <v>OK.</v>
      </c>
      <c r="Z88" s="172" t="str">
        <f t="shared" si="43"/>
        <v>OK.</v>
      </c>
      <c r="AA88" s="172" t="str">
        <f t="shared" si="43"/>
        <v>OK.</v>
      </c>
      <c r="AB88" s="172" t="str">
        <f t="shared" si="43"/>
        <v>OK.</v>
      </c>
      <c r="AC88" s="172" t="str">
        <f t="shared" si="43"/>
        <v>OK.</v>
      </c>
      <c r="AD88" s="172" t="str">
        <f t="shared" si="43"/>
        <v>OK.</v>
      </c>
      <c r="AE88" s="172" t="str">
        <f t="shared" si="43"/>
        <v>OK.</v>
      </c>
      <c r="AF88" s="172" t="str">
        <f t="shared" si="43"/>
        <v>OK.</v>
      </c>
      <c r="AG88" s="172" t="str">
        <f t="shared" si="43"/>
        <v>OK.</v>
      </c>
      <c r="AH88" s="172" t="str">
        <f t="shared" si="43"/>
        <v>OK.</v>
      </c>
      <c r="AI88" s="172" t="str">
        <f t="shared" si="43"/>
        <v>OK.</v>
      </c>
      <c r="AJ88" s="172" t="str">
        <f t="shared" si="43"/>
        <v>OK.</v>
      </c>
      <c r="AK88" s="172" t="str">
        <f t="shared" si="43"/>
        <v>OK.</v>
      </c>
      <c r="AL88" s="172" t="str">
        <f t="shared" si="43"/>
        <v>OK.</v>
      </c>
      <c r="AM88" s="172" t="str">
        <f t="shared" si="43"/>
        <v>OK.</v>
      </c>
      <c r="AN88" s="172" t="str">
        <f t="shared" si="43"/>
        <v>OK.</v>
      </c>
      <c r="AO88" s="172" t="str">
        <f t="shared" si="43"/>
        <v>OK.</v>
      </c>
    </row>
    <row r="89" spans="2:41" ht="33.75">
      <c r="B89" s="178" t="s">
        <v>179</v>
      </c>
      <c r="C89" s="179" t="str">
        <f t="shared" ref="C89:AO89" si="44">+IF(C20&lt;C21,"Za wysokie","OK.")</f>
        <v>OK.</v>
      </c>
      <c r="D89" s="179" t="str">
        <f t="shared" si="44"/>
        <v>OK.</v>
      </c>
      <c r="E89" s="179" t="str">
        <f t="shared" si="44"/>
        <v>OK.</v>
      </c>
      <c r="F89" s="179" t="str">
        <f t="shared" si="44"/>
        <v>OK.</v>
      </c>
      <c r="G89" s="179" t="str">
        <f t="shared" si="44"/>
        <v>OK.</v>
      </c>
      <c r="H89" s="179" t="str">
        <f t="shared" si="44"/>
        <v>OK.</v>
      </c>
      <c r="I89" s="179" t="str">
        <f t="shared" si="44"/>
        <v>OK.</v>
      </c>
      <c r="J89" s="179" t="str">
        <f t="shared" si="44"/>
        <v>OK.</v>
      </c>
      <c r="K89" s="179" t="str">
        <f t="shared" si="44"/>
        <v>OK.</v>
      </c>
      <c r="L89" s="179" t="str">
        <f t="shared" si="44"/>
        <v>OK.</v>
      </c>
      <c r="M89" s="179" t="str">
        <f t="shared" si="44"/>
        <v>OK.</v>
      </c>
      <c r="N89" s="179" t="str">
        <f t="shared" si="44"/>
        <v>OK.</v>
      </c>
      <c r="O89" s="179" t="str">
        <f t="shared" si="44"/>
        <v>OK.</v>
      </c>
      <c r="P89" s="179" t="str">
        <f t="shared" si="44"/>
        <v>OK.</v>
      </c>
      <c r="Q89" s="179" t="str">
        <f t="shared" si="44"/>
        <v>OK.</v>
      </c>
      <c r="R89" s="179" t="str">
        <f t="shared" si="44"/>
        <v>OK.</v>
      </c>
      <c r="S89" s="179" t="str">
        <f t="shared" si="44"/>
        <v>OK.</v>
      </c>
      <c r="T89" s="179" t="str">
        <f t="shared" si="44"/>
        <v>OK.</v>
      </c>
      <c r="U89" s="179" t="str">
        <f t="shared" si="44"/>
        <v>OK.</v>
      </c>
      <c r="V89" s="179" t="str">
        <f t="shared" si="44"/>
        <v>OK.</v>
      </c>
      <c r="W89" s="179" t="str">
        <f t="shared" si="44"/>
        <v>OK.</v>
      </c>
      <c r="X89" s="179" t="str">
        <f t="shared" si="44"/>
        <v>OK.</v>
      </c>
      <c r="Y89" s="179" t="str">
        <f t="shared" si="44"/>
        <v>OK.</v>
      </c>
      <c r="Z89" s="179" t="str">
        <f t="shared" si="44"/>
        <v>OK.</v>
      </c>
      <c r="AA89" s="179" t="str">
        <f t="shared" si="44"/>
        <v>OK.</v>
      </c>
      <c r="AB89" s="179" t="str">
        <f t="shared" si="44"/>
        <v>OK.</v>
      </c>
      <c r="AC89" s="179" t="str">
        <f t="shared" si="44"/>
        <v>OK.</v>
      </c>
      <c r="AD89" s="179" t="str">
        <f t="shared" si="44"/>
        <v>OK.</v>
      </c>
      <c r="AE89" s="179" t="str">
        <f t="shared" si="44"/>
        <v>OK.</v>
      </c>
      <c r="AF89" s="179" t="str">
        <f t="shared" si="44"/>
        <v>OK.</v>
      </c>
      <c r="AG89" s="179" t="str">
        <f t="shared" si="44"/>
        <v>OK.</v>
      </c>
      <c r="AH89" s="179" t="str">
        <f t="shared" si="44"/>
        <v>OK.</v>
      </c>
      <c r="AI89" s="179" t="str">
        <f t="shared" si="44"/>
        <v>OK.</v>
      </c>
      <c r="AJ89" s="179" t="str">
        <f t="shared" si="44"/>
        <v>OK.</v>
      </c>
      <c r="AK89" s="179" t="str">
        <f t="shared" si="44"/>
        <v>OK.</v>
      </c>
      <c r="AL89" s="179" t="str">
        <f t="shared" si="44"/>
        <v>OK.</v>
      </c>
      <c r="AM89" s="179" t="str">
        <f t="shared" si="44"/>
        <v>OK.</v>
      </c>
      <c r="AN89" s="179" t="str">
        <f t="shared" si="44"/>
        <v>OK.</v>
      </c>
      <c r="AO89" s="179" t="str">
        <f t="shared" si="44"/>
        <v>OK.</v>
      </c>
    </row>
  </sheetData>
  <conditionalFormatting sqref="C66:AO66 C68:AO69 C71:AO73 C83:AO84 C86:AO89 C75:AO81">
    <cfRule type="cellIs" dxfId="2" priority="3" stopIfTrue="1" operator="notEqual">
      <formula>"OK."</formula>
    </cfRule>
  </conditionalFormatting>
  <conditionalFormatting sqref="C46:AO46">
    <cfRule type="expression" dxfId="1" priority="5" stopIfTrue="1">
      <formula>LEFT(C46,3)="Nie"</formula>
    </cfRule>
  </conditionalFormatting>
  <conditionalFormatting sqref="C48:AO48">
    <cfRule type="expression" dxfId="0" priority="6" stopIfTrue="1">
      <formula>LEFT(C48,3)="Nie"</formula>
    </cfRule>
  </conditionalFormatting>
  <printOptions horizontalCentered="1"/>
  <pageMargins left="0.31496062992125984" right="0.15748031496062992" top="0.78" bottom="0.8" header="0.31496062992125984" footer="0.31496062992125984"/>
  <pageSetup paperSize="9" scale="48" orientation="landscape" blackAndWhite="1" horizontalDpi="4294967293" r:id="rId1"/>
  <headerFooter>
    <oddFooter>&amp;L&amp;"Czcionka tekstu podstawowego,Kursywa"&amp;8Wersja szablonu wydruku: 2011-11-04a&amp;C&amp;8Strona &amp;P z &amp;N&amp;R&amp;8Wydruk z dn.: &amp;D -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:IO69"/>
  <sheetViews>
    <sheetView view="pageBreakPreview" zoomScale="60" zoomScaleNormal="100" workbookViewId="0">
      <pane xSplit="2" ySplit="6" topLeftCell="C40" activePane="bottomRight" state="frozen"/>
      <selection activeCell="A53" sqref="A53"/>
      <selection pane="topRight" activeCell="A53" sqref="A53"/>
      <selection pane="bottomLeft" activeCell="A53" sqref="A53"/>
      <selection pane="bottomRight" activeCell="C5" sqref="C5"/>
    </sheetView>
  </sheetViews>
  <sheetFormatPr defaultRowHeight="12"/>
  <cols>
    <col min="1" max="1" width="3.625" style="1" bestFit="1" customWidth="1"/>
    <col min="2" max="2" width="49" style="1" customWidth="1"/>
    <col min="3" max="9" width="13.625" style="1" customWidth="1"/>
    <col min="10" max="31" width="13.5" style="1" customWidth="1"/>
    <col min="32" max="41" width="13.625" style="4" customWidth="1"/>
    <col min="42" max="16384" width="9" style="4"/>
  </cols>
  <sheetData>
    <row r="1" spans="1:249">
      <c r="C1" s="26" t="s">
        <v>42</v>
      </c>
      <c r="D1" s="16" t="str">
        <f>+DaneZrodlowe!B4</f>
        <v>Projekt</v>
      </c>
      <c r="G1" s="27"/>
      <c r="H1" s="27"/>
      <c r="I1" s="27"/>
    </row>
    <row r="2" spans="1:249">
      <c r="A2" s="23"/>
      <c r="C2" s="19" t="s">
        <v>40</v>
      </c>
      <c r="D2" s="20" t="str">
        <f>+"("&amp;DaneZrodlowe!D4&amp;") - "&amp;DaneZrodlowe!C4</f>
        <v>(1062000) - Piotrków Trybunalski</v>
      </c>
      <c r="F2" s="16"/>
      <c r="G2" s="16"/>
      <c r="H2" s="16"/>
      <c r="I2" s="16"/>
    </row>
    <row r="3" spans="1:249">
      <c r="A3" s="17"/>
      <c r="C3" s="18" t="s">
        <v>41</v>
      </c>
      <c r="D3" s="21" t="str">
        <f>+"2012-"&amp;MAX(DaneZrodlowe!L:L)</f>
        <v>2012-2030</v>
      </c>
    </row>
    <row r="4" spans="1:249">
      <c r="A4" s="17"/>
    </row>
    <row r="5" spans="1:249" s="36" customFormat="1">
      <c r="A5" s="163"/>
      <c r="B5" s="163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249" s="40" customFormat="1" ht="12.75" customHeight="1">
      <c r="A6" s="104" t="s">
        <v>0</v>
      </c>
      <c r="B6" s="105" t="s">
        <v>1</v>
      </c>
      <c r="C6" s="106">
        <v>2012</v>
      </c>
      <c r="D6" s="106">
        <v>2013</v>
      </c>
      <c r="E6" s="106">
        <v>2014</v>
      </c>
      <c r="F6" s="106">
        <v>2015</v>
      </c>
      <c r="G6" s="106">
        <v>2016</v>
      </c>
      <c r="H6" s="106">
        <v>2017</v>
      </c>
      <c r="I6" s="106">
        <v>2018</v>
      </c>
      <c r="J6" s="106">
        <v>2019</v>
      </c>
      <c r="K6" s="106">
        <v>2020</v>
      </c>
      <c r="L6" s="106">
        <v>2021</v>
      </c>
      <c r="M6" s="106">
        <v>2022</v>
      </c>
      <c r="N6" s="106">
        <v>2023</v>
      </c>
      <c r="O6" s="106">
        <v>2024</v>
      </c>
      <c r="P6" s="106">
        <v>2025</v>
      </c>
      <c r="Q6" s="106">
        <v>2026</v>
      </c>
      <c r="R6" s="106">
        <v>2027</v>
      </c>
      <c r="S6" s="106">
        <v>2028</v>
      </c>
      <c r="T6" s="106">
        <v>2029</v>
      </c>
      <c r="U6" s="106">
        <v>2030</v>
      </c>
      <c r="V6" s="106">
        <v>2031</v>
      </c>
      <c r="W6" s="106">
        <v>2032</v>
      </c>
      <c r="X6" s="106">
        <v>2033</v>
      </c>
      <c r="Y6" s="106">
        <v>2034</v>
      </c>
      <c r="Z6" s="106">
        <v>2035</v>
      </c>
      <c r="AA6" s="106">
        <v>2036</v>
      </c>
      <c r="AB6" s="106">
        <v>2037</v>
      </c>
      <c r="AC6" s="106">
        <v>2038</v>
      </c>
      <c r="AD6" s="106">
        <v>2039</v>
      </c>
      <c r="AE6" s="106" t="s">
        <v>26</v>
      </c>
      <c r="AF6" s="106">
        <v>2041</v>
      </c>
      <c r="AG6" s="106">
        <v>2042</v>
      </c>
      <c r="AH6" s="106">
        <v>2043</v>
      </c>
      <c r="AI6" s="106">
        <v>2044</v>
      </c>
      <c r="AJ6" s="106">
        <v>2045</v>
      </c>
      <c r="AK6" s="106">
        <v>2046</v>
      </c>
      <c r="AL6" s="106">
        <v>2047</v>
      </c>
      <c r="AM6" s="106">
        <v>2048</v>
      </c>
      <c r="AN6" s="106">
        <v>2049</v>
      </c>
      <c r="AO6" s="106">
        <v>2050</v>
      </c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</row>
    <row r="7" spans="1:249" s="36" customFormat="1">
      <c r="A7" s="133">
        <v>1</v>
      </c>
      <c r="B7" s="134" t="s">
        <v>93</v>
      </c>
      <c r="C7" s="135">
        <f>404385559.97</f>
        <v>404385559.97000003</v>
      </c>
      <c r="D7" s="135">
        <f>395472749.97</f>
        <v>395472749.97000003</v>
      </c>
      <c r="E7" s="135">
        <f>324543423</f>
        <v>324543423</v>
      </c>
      <c r="F7" s="135">
        <f>340077909</f>
        <v>340077909</v>
      </c>
      <c r="G7" s="135">
        <f>341930158</f>
        <v>341930158</v>
      </c>
      <c r="H7" s="135">
        <f>350549063</f>
        <v>350549063</v>
      </c>
      <c r="I7" s="135">
        <f>360765535</f>
        <v>360765535</v>
      </c>
      <c r="J7" s="135">
        <f>368288501</f>
        <v>368288501</v>
      </c>
      <c r="K7" s="135">
        <f>378127156</f>
        <v>378127156</v>
      </c>
      <c r="L7" s="135">
        <f>387290971</f>
        <v>387290971</v>
      </c>
      <c r="M7" s="135">
        <f>397789700</f>
        <v>397789700</v>
      </c>
      <c r="N7" s="135">
        <f>410133391</f>
        <v>410133391</v>
      </c>
      <c r="O7" s="135">
        <f>419332393</f>
        <v>419332393</v>
      </c>
      <c r="P7" s="135">
        <f>431897365</f>
        <v>431897365</v>
      </c>
      <c r="Q7" s="135">
        <f>444839286</f>
        <v>444839286</v>
      </c>
      <c r="R7" s="135">
        <f>458169464</f>
        <v>458169464</v>
      </c>
      <c r="S7" s="135">
        <f>471899548</f>
        <v>471899548</v>
      </c>
      <c r="T7" s="135">
        <f>486041534</f>
        <v>486041534</v>
      </c>
      <c r="U7" s="135">
        <f>500607780</f>
        <v>500607780</v>
      </c>
      <c r="V7" s="135">
        <f>0</f>
        <v>0</v>
      </c>
      <c r="W7" s="135">
        <f>0</f>
        <v>0</v>
      </c>
      <c r="X7" s="135">
        <f>0</f>
        <v>0</v>
      </c>
      <c r="Y7" s="135">
        <f>0</f>
        <v>0</v>
      </c>
      <c r="Z7" s="135">
        <f>0</f>
        <v>0</v>
      </c>
      <c r="AA7" s="135">
        <f>0</f>
        <v>0</v>
      </c>
      <c r="AB7" s="135">
        <f>0</f>
        <v>0</v>
      </c>
      <c r="AC7" s="135">
        <f>0</f>
        <v>0</v>
      </c>
      <c r="AD7" s="135">
        <f>0</f>
        <v>0</v>
      </c>
      <c r="AE7" s="135">
        <f>0</f>
        <v>0</v>
      </c>
      <c r="AF7" s="135">
        <f>0</f>
        <v>0</v>
      </c>
      <c r="AG7" s="135">
        <f>0</f>
        <v>0</v>
      </c>
      <c r="AH7" s="135">
        <f>0</f>
        <v>0</v>
      </c>
      <c r="AI7" s="135">
        <f>0</f>
        <v>0</v>
      </c>
      <c r="AJ7" s="135">
        <f>0</f>
        <v>0</v>
      </c>
      <c r="AK7" s="135">
        <f>0</f>
        <v>0</v>
      </c>
      <c r="AL7" s="135">
        <f>0</f>
        <v>0</v>
      </c>
      <c r="AM7" s="135">
        <f>0</f>
        <v>0</v>
      </c>
      <c r="AN7" s="135">
        <f>0</f>
        <v>0</v>
      </c>
      <c r="AO7" s="135">
        <f>0</f>
        <v>0</v>
      </c>
    </row>
    <row r="8" spans="1:249" s="36" customFormat="1">
      <c r="A8" s="112" t="s">
        <v>94</v>
      </c>
      <c r="B8" s="113" t="s">
        <v>95</v>
      </c>
      <c r="C8" s="114">
        <f>315783037.79</f>
        <v>315783037.79000002</v>
      </c>
      <c r="D8" s="114">
        <f>324141487.97</f>
        <v>324141487.97000003</v>
      </c>
      <c r="E8" s="114">
        <f>318220327</f>
        <v>318220327</v>
      </c>
      <c r="F8" s="114">
        <f>321105175</f>
        <v>321105175</v>
      </c>
      <c r="G8" s="114">
        <f>330630158</f>
        <v>330630158</v>
      </c>
      <c r="H8" s="114">
        <f>340549063</f>
        <v>340549063</v>
      </c>
      <c r="I8" s="114">
        <f>350765535</f>
        <v>350765535</v>
      </c>
      <c r="J8" s="114">
        <f>361288501</f>
        <v>361288501</v>
      </c>
      <c r="K8" s="114">
        <f>372127156</f>
        <v>372127156</v>
      </c>
      <c r="L8" s="114">
        <f>383290971</f>
        <v>383290971</v>
      </c>
      <c r="M8" s="114">
        <f>394789700</f>
        <v>394789700</v>
      </c>
      <c r="N8" s="114">
        <f>406633391</f>
        <v>406633391</v>
      </c>
      <c r="O8" s="114">
        <f>418832393</f>
        <v>418832393</v>
      </c>
      <c r="P8" s="114">
        <f>431397365</f>
        <v>431397365</v>
      </c>
      <c r="Q8" s="114">
        <f>444339286</f>
        <v>444339286</v>
      </c>
      <c r="R8" s="114">
        <f>457669464</f>
        <v>457669464</v>
      </c>
      <c r="S8" s="114">
        <f>471399548</f>
        <v>471399548</v>
      </c>
      <c r="T8" s="114">
        <f>485541534</f>
        <v>485541534</v>
      </c>
      <c r="U8" s="114">
        <f>500107780</f>
        <v>500107780</v>
      </c>
      <c r="V8" s="114">
        <f>0</f>
        <v>0</v>
      </c>
      <c r="W8" s="114">
        <f>0</f>
        <v>0</v>
      </c>
      <c r="X8" s="114">
        <f>0</f>
        <v>0</v>
      </c>
      <c r="Y8" s="114">
        <f>0</f>
        <v>0</v>
      </c>
      <c r="Z8" s="114">
        <f>0</f>
        <v>0</v>
      </c>
      <c r="AA8" s="114">
        <f>0</f>
        <v>0</v>
      </c>
      <c r="AB8" s="114">
        <f>0</f>
        <v>0</v>
      </c>
      <c r="AC8" s="114">
        <f>0</f>
        <v>0</v>
      </c>
      <c r="AD8" s="114">
        <f>0</f>
        <v>0</v>
      </c>
      <c r="AE8" s="114">
        <f>0</f>
        <v>0</v>
      </c>
      <c r="AF8" s="114">
        <f>0</f>
        <v>0</v>
      </c>
      <c r="AG8" s="114">
        <f>0</f>
        <v>0</v>
      </c>
      <c r="AH8" s="114">
        <f>0</f>
        <v>0</v>
      </c>
      <c r="AI8" s="114">
        <f>0</f>
        <v>0</v>
      </c>
      <c r="AJ8" s="114">
        <f>0</f>
        <v>0</v>
      </c>
      <c r="AK8" s="114">
        <f>0</f>
        <v>0</v>
      </c>
      <c r="AL8" s="114">
        <f>0</f>
        <v>0</v>
      </c>
      <c r="AM8" s="114">
        <f>0</f>
        <v>0</v>
      </c>
      <c r="AN8" s="114">
        <f>0</f>
        <v>0</v>
      </c>
      <c r="AO8" s="114">
        <f>0</f>
        <v>0</v>
      </c>
    </row>
    <row r="9" spans="1:249" s="36" customFormat="1">
      <c r="A9" s="112" t="s">
        <v>96</v>
      </c>
      <c r="B9" s="115" t="s">
        <v>84</v>
      </c>
      <c r="C9" s="114">
        <f>0</f>
        <v>0</v>
      </c>
      <c r="D9" s="114">
        <f>0</f>
        <v>0</v>
      </c>
      <c r="E9" s="114">
        <f>0</f>
        <v>0</v>
      </c>
      <c r="F9" s="114">
        <f>0</f>
        <v>0</v>
      </c>
      <c r="G9" s="114">
        <f>0</f>
        <v>0</v>
      </c>
      <c r="H9" s="114">
        <f>0</f>
        <v>0</v>
      </c>
      <c r="I9" s="114">
        <f>0</f>
        <v>0</v>
      </c>
      <c r="J9" s="114">
        <f>0</f>
        <v>0</v>
      </c>
      <c r="K9" s="114">
        <f>0</f>
        <v>0</v>
      </c>
      <c r="L9" s="114">
        <f>0</f>
        <v>0</v>
      </c>
      <c r="M9" s="114">
        <f>0</f>
        <v>0</v>
      </c>
      <c r="N9" s="114">
        <f>0</f>
        <v>0</v>
      </c>
      <c r="O9" s="114">
        <f>0</f>
        <v>0</v>
      </c>
      <c r="P9" s="114">
        <f>0</f>
        <v>0</v>
      </c>
      <c r="Q9" s="114">
        <f>0</f>
        <v>0</v>
      </c>
      <c r="R9" s="114">
        <f>0</f>
        <v>0</v>
      </c>
      <c r="S9" s="114">
        <f>0</f>
        <v>0</v>
      </c>
      <c r="T9" s="114">
        <f>0</f>
        <v>0</v>
      </c>
      <c r="U9" s="114">
        <f>0</f>
        <v>0</v>
      </c>
      <c r="V9" s="114">
        <f>0</f>
        <v>0</v>
      </c>
      <c r="W9" s="114">
        <f>0</f>
        <v>0</v>
      </c>
      <c r="X9" s="114">
        <f>0</f>
        <v>0</v>
      </c>
      <c r="Y9" s="114">
        <f>0</f>
        <v>0</v>
      </c>
      <c r="Z9" s="114">
        <f>0</f>
        <v>0</v>
      </c>
      <c r="AA9" s="114">
        <f>0</f>
        <v>0</v>
      </c>
      <c r="AB9" s="114">
        <f>0</f>
        <v>0</v>
      </c>
      <c r="AC9" s="114">
        <f>0</f>
        <v>0</v>
      </c>
      <c r="AD9" s="114">
        <f>0</f>
        <v>0</v>
      </c>
      <c r="AE9" s="114">
        <f>0</f>
        <v>0</v>
      </c>
      <c r="AF9" s="114">
        <f>0</f>
        <v>0</v>
      </c>
      <c r="AG9" s="114">
        <f>0</f>
        <v>0</v>
      </c>
      <c r="AH9" s="114">
        <f>0</f>
        <v>0</v>
      </c>
      <c r="AI9" s="114">
        <f>0</f>
        <v>0</v>
      </c>
      <c r="AJ9" s="114">
        <f>0</f>
        <v>0</v>
      </c>
      <c r="AK9" s="114">
        <f>0</f>
        <v>0</v>
      </c>
      <c r="AL9" s="114">
        <f>0</f>
        <v>0</v>
      </c>
      <c r="AM9" s="114">
        <f>0</f>
        <v>0</v>
      </c>
      <c r="AN9" s="114">
        <f>0</f>
        <v>0</v>
      </c>
      <c r="AO9" s="114">
        <f>0</f>
        <v>0</v>
      </c>
    </row>
    <row r="10" spans="1:249" s="36" customFormat="1">
      <c r="A10" s="112" t="s">
        <v>98</v>
      </c>
      <c r="B10" s="116" t="s">
        <v>99</v>
      </c>
      <c r="C10" s="114">
        <f>88602522.18</f>
        <v>88602522.180000007</v>
      </c>
      <c r="D10" s="114">
        <f>71331262</f>
        <v>71331262</v>
      </c>
      <c r="E10" s="114">
        <f>6323096</f>
        <v>6323096</v>
      </c>
      <c r="F10" s="114">
        <f>18972734</f>
        <v>18972734</v>
      </c>
      <c r="G10" s="114">
        <f>11300000</f>
        <v>11300000</v>
      </c>
      <c r="H10" s="114">
        <f>10000000</f>
        <v>10000000</v>
      </c>
      <c r="I10" s="114">
        <f>10000000</f>
        <v>10000000</v>
      </c>
      <c r="J10" s="114">
        <f>7000000</f>
        <v>7000000</v>
      </c>
      <c r="K10" s="114">
        <f>6000000</f>
        <v>6000000</v>
      </c>
      <c r="L10" s="114">
        <f>4000000</f>
        <v>4000000</v>
      </c>
      <c r="M10" s="114">
        <f>3000000</f>
        <v>3000000</v>
      </c>
      <c r="N10" s="114">
        <f>3500000</f>
        <v>3500000</v>
      </c>
      <c r="O10" s="114">
        <f t="shared" ref="O10:U11" si="0">500000</f>
        <v>500000</v>
      </c>
      <c r="P10" s="114">
        <f t="shared" si="0"/>
        <v>500000</v>
      </c>
      <c r="Q10" s="114">
        <f t="shared" si="0"/>
        <v>500000</v>
      </c>
      <c r="R10" s="114">
        <f t="shared" si="0"/>
        <v>500000</v>
      </c>
      <c r="S10" s="114">
        <f t="shared" si="0"/>
        <v>500000</v>
      </c>
      <c r="T10" s="114">
        <f t="shared" si="0"/>
        <v>500000</v>
      </c>
      <c r="U10" s="114">
        <f t="shared" si="0"/>
        <v>500000</v>
      </c>
      <c r="V10" s="114">
        <f>0</f>
        <v>0</v>
      </c>
      <c r="W10" s="114">
        <f>0</f>
        <v>0</v>
      </c>
      <c r="X10" s="114">
        <f>0</f>
        <v>0</v>
      </c>
      <c r="Y10" s="114">
        <f>0</f>
        <v>0</v>
      </c>
      <c r="Z10" s="114">
        <f>0</f>
        <v>0</v>
      </c>
      <c r="AA10" s="114">
        <f>0</f>
        <v>0</v>
      </c>
      <c r="AB10" s="114">
        <f>0</f>
        <v>0</v>
      </c>
      <c r="AC10" s="114">
        <f>0</f>
        <v>0</v>
      </c>
      <c r="AD10" s="114">
        <f>0</f>
        <v>0</v>
      </c>
      <c r="AE10" s="114">
        <f>0</f>
        <v>0</v>
      </c>
      <c r="AF10" s="114">
        <f>0</f>
        <v>0</v>
      </c>
      <c r="AG10" s="114">
        <f>0</f>
        <v>0</v>
      </c>
      <c r="AH10" s="114">
        <f>0</f>
        <v>0</v>
      </c>
      <c r="AI10" s="114">
        <f>0</f>
        <v>0</v>
      </c>
      <c r="AJ10" s="114">
        <f>0</f>
        <v>0</v>
      </c>
      <c r="AK10" s="114">
        <f>0</f>
        <v>0</v>
      </c>
      <c r="AL10" s="114">
        <f>0</f>
        <v>0</v>
      </c>
      <c r="AM10" s="114">
        <f>0</f>
        <v>0</v>
      </c>
      <c r="AN10" s="114">
        <f>0</f>
        <v>0</v>
      </c>
      <c r="AO10" s="114">
        <f>0</f>
        <v>0</v>
      </c>
    </row>
    <row r="11" spans="1:249" s="36" customFormat="1">
      <c r="A11" s="112" t="s">
        <v>100</v>
      </c>
      <c r="B11" s="115" t="s">
        <v>86</v>
      </c>
      <c r="C11" s="114">
        <f>5006900</f>
        <v>5006900</v>
      </c>
      <c r="D11" s="114">
        <f>4200000</f>
        <v>4200000</v>
      </c>
      <c r="E11" s="114">
        <f>6000000</f>
        <v>6000000</v>
      </c>
      <c r="F11" s="114">
        <f>11000000</f>
        <v>11000000</v>
      </c>
      <c r="G11" s="114">
        <f>11300000</f>
        <v>11300000</v>
      </c>
      <c r="H11" s="114">
        <f>10000000</f>
        <v>10000000</v>
      </c>
      <c r="I11" s="114">
        <f>10000000</f>
        <v>10000000</v>
      </c>
      <c r="J11" s="114">
        <f>7000000</f>
        <v>7000000</v>
      </c>
      <c r="K11" s="114">
        <f>6000000</f>
        <v>6000000</v>
      </c>
      <c r="L11" s="114">
        <f>4000000</f>
        <v>4000000</v>
      </c>
      <c r="M11" s="114">
        <f>3000000</f>
        <v>3000000</v>
      </c>
      <c r="N11" s="114">
        <f>3500000</f>
        <v>3500000</v>
      </c>
      <c r="O11" s="114">
        <f t="shared" si="0"/>
        <v>500000</v>
      </c>
      <c r="P11" s="114">
        <f t="shared" si="0"/>
        <v>500000</v>
      </c>
      <c r="Q11" s="114">
        <f t="shared" si="0"/>
        <v>500000</v>
      </c>
      <c r="R11" s="114">
        <f t="shared" si="0"/>
        <v>500000</v>
      </c>
      <c r="S11" s="114">
        <f t="shared" si="0"/>
        <v>500000</v>
      </c>
      <c r="T11" s="114">
        <f t="shared" si="0"/>
        <v>500000</v>
      </c>
      <c r="U11" s="114">
        <f t="shared" si="0"/>
        <v>500000</v>
      </c>
      <c r="V11" s="114">
        <f>0</f>
        <v>0</v>
      </c>
      <c r="W11" s="114">
        <f>0</f>
        <v>0</v>
      </c>
      <c r="X11" s="114">
        <f>0</f>
        <v>0</v>
      </c>
      <c r="Y11" s="114">
        <f>0</f>
        <v>0</v>
      </c>
      <c r="Z11" s="114">
        <f>0</f>
        <v>0</v>
      </c>
      <c r="AA11" s="114">
        <f>0</f>
        <v>0</v>
      </c>
      <c r="AB11" s="114">
        <f>0</f>
        <v>0</v>
      </c>
      <c r="AC11" s="114">
        <f>0</f>
        <v>0</v>
      </c>
      <c r="AD11" s="114">
        <f>0</f>
        <v>0</v>
      </c>
      <c r="AE11" s="114">
        <f>0</f>
        <v>0</v>
      </c>
      <c r="AF11" s="114">
        <f>0</f>
        <v>0</v>
      </c>
      <c r="AG11" s="114">
        <f>0</f>
        <v>0</v>
      </c>
      <c r="AH11" s="114">
        <f>0</f>
        <v>0</v>
      </c>
      <c r="AI11" s="114">
        <f>0</f>
        <v>0</v>
      </c>
      <c r="AJ11" s="114">
        <f>0</f>
        <v>0</v>
      </c>
      <c r="AK11" s="114">
        <f>0</f>
        <v>0</v>
      </c>
      <c r="AL11" s="114">
        <f>0</f>
        <v>0</v>
      </c>
      <c r="AM11" s="114">
        <f>0</f>
        <v>0</v>
      </c>
      <c r="AN11" s="114">
        <f>0</f>
        <v>0</v>
      </c>
      <c r="AO11" s="114">
        <f>0</f>
        <v>0</v>
      </c>
    </row>
    <row r="12" spans="1:249" s="36" customFormat="1">
      <c r="A12" s="136" t="s">
        <v>102</v>
      </c>
      <c r="B12" s="137" t="s">
        <v>87</v>
      </c>
      <c r="C12" s="138">
        <f>82468845.57</f>
        <v>82468845.569999993</v>
      </c>
      <c r="D12" s="138">
        <f>67131262</f>
        <v>67131262</v>
      </c>
      <c r="E12" s="138">
        <f>323096</f>
        <v>323096</v>
      </c>
      <c r="F12" s="138">
        <f>7972734.12</f>
        <v>7972734.1200000001</v>
      </c>
      <c r="G12" s="138">
        <f>0</f>
        <v>0</v>
      </c>
      <c r="H12" s="138">
        <f>0</f>
        <v>0</v>
      </c>
      <c r="I12" s="138">
        <f>0</f>
        <v>0</v>
      </c>
      <c r="J12" s="138">
        <f>0</f>
        <v>0</v>
      </c>
      <c r="K12" s="138">
        <f>0</f>
        <v>0</v>
      </c>
      <c r="L12" s="138">
        <f>0</f>
        <v>0</v>
      </c>
      <c r="M12" s="138">
        <f>0</f>
        <v>0</v>
      </c>
      <c r="N12" s="138">
        <f>0</f>
        <v>0</v>
      </c>
      <c r="O12" s="138">
        <f>0</f>
        <v>0</v>
      </c>
      <c r="P12" s="138">
        <f>0</f>
        <v>0</v>
      </c>
      <c r="Q12" s="138">
        <f>0</f>
        <v>0</v>
      </c>
      <c r="R12" s="138">
        <f>0</f>
        <v>0</v>
      </c>
      <c r="S12" s="138">
        <f>0</f>
        <v>0</v>
      </c>
      <c r="T12" s="138">
        <f>0</f>
        <v>0</v>
      </c>
      <c r="U12" s="138">
        <f>0</f>
        <v>0</v>
      </c>
      <c r="V12" s="138">
        <f>0</f>
        <v>0</v>
      </c>
      <c r="W12" s="138">
        <f>0</f>
        <v>0</v>
      </c>
      <c r="X12" s="138">
        <f>0</f>
        <v>0</v>
      </c>
      <c r="Y12" s="138">
        <f>0</f>
        <v>0</v>
      </c>
      <c r="Z12" s="138">
        <f>0</f>
        <v>0</v>
      </c>
      <c r="AA12" s="138">
        <f>0</f>
        <v>0</v>
      </c>
      <c r="AB12" s="138">
        <f>0</f>
        <v>0</v>
      </c>
      <c r="AC12" s="138">
        <f>0</f>
        <v>0</v>
      </c>
      <c r="AD12" s="138">
        <f>0</f>
        <v>0</v>
      </c>
      <c r="AE12" s="138">
        <f>0</f>
        <v>0</v>
      </c>
      <c r="AF12" s="138">
        <f>0</f>
        <v>0</v>
      </c>
      <c r="AG12" s="138">
        <f>0</f>
        <v>0</v>
      </c>
      <c r="AH12" s="138">
        <f>0</f>
        <v>0</v>
      </c>
      <c r="AI12" s="138">
        <f>0</f>
        <v>0</v>
      </c>
      <c r="AJ12" s="138">
        <f>0</f>
        <v>0</v>
      </c>
      <c r="AK12" s="138">
        <f>0</f>
        <v>0</v>
      </c>
      <c r="AL12" s="138">
        <f>0</f>
        <v>0</v>
      </c>
      <c r="AM12" s="138">
        <f>0</f>
        <v>0</v>
      </c>
      <c r="AN12" s="138">
        <f>0</f>
        <v>0</v>
      </c>
      <c r="AO12" s="138">
        <f>0</f>
        <v>0</v>
      </c>
    </row>
    <row r="13" spans="1:249" s="36" customFormat="1" ht="24">
      <c r="A13" s="133">
        <v>2</v>
      </c>
      <c r="B13" s="134" t="s">
        <v>3</v>
      </c>
      <c r="C13" s="135">
        <f>275981359.83</f>
        <v>275981359.82999998</v>
      </c>
      <c r="D13" s="135">
        <f>284260800.62</f>
        <v>284260800.62</v>
      </c>
      <c r="E13" s="135">
        <f>292788625</f>
        <v>292788625</v>
      </c>
      <c r="F13" s="135">
        <f>301572283</f>
        <v>301572283</v>
      </c>
      <c r="G13" s="135">
        <f>310619452</f>
        <v>310619452</v>
      </c>
      <c r="H13" s="135">
        <f>319938035</f>
        <v>319938035</v>
      </c>
      <c r="I13" s="135">
        <f>329536177</f>
        <v>329536177</v>
      </c>
      <c r="J13" s="135">
        <f>339422262</f>
        <v>339422262</v>
      </c>
      <c r="K13" s="135">
        <f>349604930</f>
        <v>349604930</v>
      </c>
      <c r="L13" s="135">
        <f>360093078</f>
        <v>360093078</v>
      </c>
      <c r="M13" s="135">
        <f>370895870</f>
        <v>370895870</v>
      </c>
      <c r="N13" s="135">
        <f>382022746</f>
        <v>382022746</v>
      </c>
      <c r="O13" s="135">
        <f>393483428</f>
        <v>393483428</v>
      </c>
      <c r="P13" s="135">
        <f>405287931</f>
        <v>405287931</v>
      </c>
      <c r="Q13" s="135">
        <f>417446569</f>
        <v>417446569</v>
      </c>
      <c r="R13" s="135">
        <f>429969966</f>
        <v>429969966</v>
      </c>
      <c r="S13" s="135">
        <f>442869065</f>
        <v>442869065</v>
      </c>
      <c r="T13" s="135">
        <f>456155137</f>
        <v>456155137</v>
      </c>
      <c r="U13" s="135">
        <f>469839791</f>
        <v>469839791</v>
      </c>
      <c r="V13" s="135">
        <f>0</f>
        <v>0</v>
      </c>
      <c r="W13" s="135">
        <f>0</f>
        <v>0</v>
      </c>
      <c r="X13" s="135">
        <f>0</f>
        <v>0</v>
      </c>
      <c r="Y13" s="135">
        <f>0</f>
        <v>0</v>
      </c>
      <c r="Z13" s="135">
        <f>0</f>
        <v>0</v>
      </c>
      <c r="AA13" s="135">
        <f>0</f>
        <v>0</v>
      </c>
      <c r="AB13" s="135">
        <f>0</f>
        <v>0</v>
      </c>
      <c r="AC13" s="135">
        <f>0</f>
        <v>0</v>
      </c>
      <c r="AD13" s="135">
        <f>0</f>
        <v>0</v>
      </c>
      <c r="AE13" s="135">
        <f>0</f>
        <v>0</v>
      </c>
      <c r="AF13" s="135">
        <f>0</f>
        <v>0</v>
      </c>
      <c r="AG13" s="135">
        <f>0</f>
        <v>0</v>
      </c>
      <c r="AH13" s="135">
        <f>0</f>
        <v>0</v>
      </c>
      <c r="AI13" s="135">
        <f>0</f>
        <v>0</v>
      </c>
      <c r="AJ13" s="135">
        <f>0</f>
        <v>0</v>
      </c>
      <c r="AK13" s="135">
        <f>0</f>
        <v>0</v>
      </c>
      <c r="AL13" s="135">
        <f>0</f>
        <v>0</v>
      </c>
      <c r="AM13" s="135">
        <f>0</f>
        <v>0</v>
      </c>
      <c r="AN13" s="135">
        <f>0</f>
        <v>0</v>
      </c>
      <c r="AO13" s="135">
        <f>0</f>
        <v>0</v>
      </c>
    </row>
    <row r="14" spans="1:249" s="36" customFormat="1">
      <c r="A14" s="112" t="s">
        <v>104</v>
      </c>
      <c r="B14" s="113" t="s">
        <v>4</v>
      </c>
      <c r="C14" s="114">
        <f>138223386.08</f>
        <v>138223386.08000001</v>
      </c>
      <c r="D14" s="114">
        <f>140068364</f>
        <v>140068364</v>
      </c>
      <c r="E14" s="114">
        <f>142169389</f>
        <v>142169389</v>
      </c>
      <c r="F14" s="114">
        <f>144301930</f>
        <v>144301930</v>
      </c>
      <c r="G14" s="114">
        <f>146466459</f>
        <v>146466459</v>
      </c>
      <c r="H14" s="114">
        <f>148663456</f>
        <v>148663456</v>
      </c>
      <c r="I14" s="114">
        <f>150893408</f>
        <v>150893408</v>
      </c>
      <c r="J14" s="114">
        <f>153156809</f>
        <v>153156809</v>
      </c>
      <c r="K14" s="114">
        <f>155454161</f>
        <v>155454161</v>
      </c>
      <c r="L14" s="114">
        <f>157785973</f>
        <v>157785973</v>
      </c>
      <c r="M14" s="114">
        <f>160152763</f>
        <v>160152763</v>
      </c>
      <c r="N14" s="114">
        <f>162555055</f>
        <v>162555055</v>
      </c>
      <c r="O14" s="114">
        <f>164993380</f>
        <v>164993380</v>
      </c>
      <c r="P14" s="114">
        <f>167468281</f>
        <v>167468281</v>
      </c>
      <c r="Q14" s="114">
        <f>169980305</f>
        <v>169980305</v>
      </c>
      <c r="R14" s="114">
        <f>172530010</f>
        <v>172530010</v>
      </c>
      <c r="S14" s="114">
        <f>175117960</f>
        <v>175117960</v>
      </c>
      <c r="T14" s="114">
        <f>177744729</f>
        <v>177744729</v>
      </c>
      <c r="U14" s="114">
        <f>180410900</f>
        <v>180410900</v>
      </c>
      <c r="V14" s="114">
        <f>0</f>
        <v>0</v>
      </c>
      <c r="W14" s="114">
        <f>0</f>
        <v>0</v>
      </c>
      <c r="X14" s="114">
        <f>0</f>
        <v>0</v>
      </c>
      <c r="Y14" s="114">
        <f>0</f>
        <v>0</v>
      </c>
      <c r="Z14" s="114">
        <f>0</f>
        <v>0</v>
      </c>
      <c r="AA14" s="114">
        <f>0</f>
        <v>0</v>
      </c>
      <c r="AB14" s="114">
        <f>0</f>
        <v>0</v>
      </c>
      <c r="AC14" s="114">
        <f>0</f>
        <v>0</v>
      </c>
      <c r="AD14" s="114">
        <f>0</f>
        <v>0</v>
      </c>
      <c r="AE14" s="114">
        <f>0</f>
        <v>0</v>
      </c>
      <c r="AF14" s="114">
        <f>0</f>
        <v>0</v>
      </c>
      <c r="AG14" s="114">
        <f>0</f>
        <v>0</v>
      </c>
      <c r="AH14" s="114">
        <f>0</f>
        <v>0</v>
      </c>
      <c r="AI14" s="114">
        <f>0</f>
        <v>0</v>
      </c>
      <c r="AJ14" s="114">
        <f>0</f>
        <v>0</v>
      </c>
      <c r="AK14" s="114">
        <f>0</f>
        <v>0</v>
      </c>
      <c r="AL14" s="114">
        <f>0</f>
        <v>0</v>
      </c>
      <c r="AM14" s="114">
        <f>0</f>
        <v>0</v>
      </c>
      <c r="AN14" s="114">
        <f>0</f>
        <v>0</v>
      </c>
      <c r="AO14" s="114">
        <f>0</f>
        <v>0</v>
      </c>
    </row>
    <row r="15" spans="1:249" s="36" customFormat="1">
      <c r="A15" s="112" t="s">
        <v>106</v>
      </c>
      <c r="B15" s="113" t="s">
        <v>5</v>
      </c>
      <c r="C15" s="114">
        <f>19380284.95</f>
        <v>19380284.949999999</v>
      </c>
      <c r="D15" s="114">
        <f>19524474</f>
        <v>19524474</v>
      </c>
      <c r="E15" s="114">
        <f>19817338</f>
        <v>19817338</v>
      </c>
      <c r="F15" s="114">
        <f>20114598</f>
        <v>20114598</v>
      </c>
      <c r="G15" s="114">
        <f>20416317</f>
        <v>20416317</v>
      </c>
      <c r="H15" s="114">
        <f>20772562</f>
        <v>20772562</v>
      </c>
      <c r="I15" s="114">
        <f>21033400</f>
        <v>21033400</v>
      </c>
      <c r="J15" s="114">
        <f>21348901</f>
        <v>21348901</v>
      </c>
      <c r="K15" s="114">
        <f>21669135</f>
        <v>21669135</v>
      </c>
      <c r="L15" s="114">
        <f>21994172</f>
        <v>21994172</v>
      </c>
      <c r="M15" s="114">
        <f>22324084</f>
        <v>22324084</v>
      </c>
      <c r="N15" s="114">
        <f>22658946</f>
        <v>22658946</v>
      </c>
      <c r="O15" s="114">
        <f>22998830</f>
        <v>22998830</v>
      </c>
      <c r="P15" s="114">
        <f>23343812</f>
        <v>23343812</v>
      </c>
      <c r="Q15" s="114">
        <f>23693970</f>
        <v>23693970</v>
      </c>
      <c r="R15" s="114">
        <f>24049379</f>
        <v>24049379</v>
      </c>
      <c r="S15" s="114">
        <f>24410120</f>
        <v>24410120</v>
      </c>
      <c r="T15" s="114">
        <f>24776271</f>
        <v>24776271</v>
      </c>
      <c r="U15" s="114">
        <f>25147915</f>
        <v>25147915</v>
      </c>
      <c r="V15" s="114">
        <f>0</f>
        <v>0</v>
      </c>
      <c r="W15" s="114">
        <f>0</f>
        <v>0</v>
      </c>
      <c r="X15" s="114">
        <f>0</f>
        <v>0</v>
      </c>
      <c r="Y15" s="114">
        <f>0</f>
        <v>0</v>
      </c>
      <c r="Z15" s="114">
        <f>0</f>
        <v>0</v>
      </c>
      <c r="AA15" s="114">
        <f>0</f>
        <v>0</v>
      </c>
      <c r="AB15" s="114">
        <f>0</f>
        <v>0</v>
      </c>
      <c r="AC15" s="114">
        <f>0</f>
        <v>0</v>
      </c>
      <c r="AD15" s="114">
        <f>0</f>
        <v>0</v>
      </c>
      <c r="AE15" s="114">
        <f>0</f>
        <v>0</v>
      </c>
      <c r="AF15" s="114">
        <f>0</f>
        <v>0</v>
      </c>
      <c r="AG15" s="114">
        <f>0</f>
        <v>0</v>
      </c>
      <c r="AH15" s="114">
        <f>0</f>
        <v>0</v>
      </c>
      <c r="AI15" s="114">
        <f>0</f>
        <v>0</v>
      </c>
      <c r="AJ15" s="114">
        <f>0</f>
        <v>0</v>
      </c>
      <c r="AK15" s="114">
        <f>0</f>
        <v>0</v>
      </c>
      <c r="AL15" s="114">
        <f>0</f>
        <v>0</v>
      </c>
      <c r="AM15" s="114">
        <f>0</f>
        <v>0</v>
      </c>
      <c r="AN15" s="114">
        <f>0</f>
        <v>0</v>
      </c>
      <c r="AO15" s="114">
        <f>0</f>
        <v>0</v>
      </c>
    </row>
    <row r="16" spans="1:249" s="36" customFormat="1">
      <c r="A16" s="112" t="s">
        <v>108</v>
      </c>
      <c r="B16" s="113" t="s">
        <v>156</v>
      </c>
      <c r="C16" s="114">
        <f>0</f>
        <v>0</v>
      </c>
      <c r="D16" s="114">
        <f>0</f>
        <v>0</v>
      </c>
      <c r="E16" s="114">
        <f>0</f>
        <v>0</v>
      </c>
      <c r="F16" s="114">
        <f>0</f>
        <v>0</v>
      </c>
      <c r="G16" s="114">
        <f>0</f>
        <v>0</v>
      </c>
      <c r="H16" s="114">
        <f>0</f>
        <v>0</v>
      </c>
      <c r="I16" s="114">
        <f>0</f>
        <v>0</v>
      </c>
      <c r="J16" s="114">
        <f>0</f>
        <v>0</v>
      </c>
      <c r="K16" s="114">
        <f>0</f>
        <v>0</v>
      </c>
      <c r="L16" s="114">
        <f>0</f>
        <v>0</v>
      </c>
      <c r="M16" s="114">
        <f>0</f>
        <v>0</v>
      </c>
      <c r="N16" s="114">
        <f>0</f>
        <v>0</v>
      </c>
      <c r="O16" s="114">
        <f>0</f>
        <v>0</v>
      </c>
      <c r="P16" s="114">
        <f>0</f>
        <v>0</v>
      </c>
      <c r="Q16" s="114">
        <f>0</f>
        <v>0</v>
      </c>
      <c r="R16" s="114">
        <f>0</f>
        <v>0</v>
      </c>
      <c r="S16" s="114">
        <f>0</f>
        <v>0</v>
      </c>
      <c r="T16" s="114">
        <f>0</f>
        <v>0</v>
      </c>
      <c r="U16" s="114">
        <f>0</f>
        <v>0</v>
      </c>
      <c r="V16" s="114">
        <f>0</f>
        <v>0</v>
      </c>
      <c r="W16" s="114">
        <f>0</f>
        <v>0</v>
      </c>
      <c r="X16" s="114">
        <f>0</f>
        <v>0</v>
      </c>
      <c r="Y16" s="114">
        <f>0</f>
        <v>0</v>
      </c>
      <c r="Z16" s="114">
        <f>0</f>
        <v>0</v>
      </c>
      <c r="AA16" s="114">
        <f>0</f>
        <v>0</v>
      </c>
      <c r="AB16" s="114">
        <f>0</f>
        <v>0</v>
      </c>
      <c r="AC16" s="114">
        <f>0</f>
        <v>0</v>
      </c>
      <c r="AD16" s="114">
        <f>0</f>
        <v>0</v>
      </c>
      <c r="AE16" s="114">
        <f>0</f>
        <v>0</v>
      </c>
      <c r="AF16" s="114">
        <f>0</f>
        <v>0</v>
      </c>
      <c r="AG16" s="114">
        <f>0</f>
        <v>0</v>
      </c>
      <c r="AH16" s="114">
        <f>0</f>
        <v>0</v>
      </c>
      <c r="AI16" s="114">
        <f>0</f>
        <v>0</v>
      </c>
      <c r="AJ16" s="114">
        <f>0</f>
        <v>0</v>
      </c>
      <c r="AK16" s="114">
        <f>0</f>
        <v>0</v>
      </c>
      <c r="AL16" s="114">
        <f>0</f>
        <v>0</v>
      </c>
      <c r="AM16" s="114">
        <f>0</f>
        <v>0</v>
      </c>
      <c r="AN16" s="114">
        <f>0</f>
        <v>0</v>
      </c>
      <c r="AO16" s="114">
        <f>0</f>
        <v>0</v>
      </c>
    </row>
    <row r="17" spans="1:41" s="36" customFormat="1" ht="24">
      <c r="A17" s="112" t="s">
        <v>110</v>
      </c>
      <c r="B17" s="117" t="s">
        <v>155</v>
      </c>
      <c r="C17" s="114">
        <f>0</f>
        <v>0</v>
      </c>
      <c r="D17" s="114">
        <f>0</f>
        <v>0</v>
      </c>
      <c r="E17" s="114">
        <f>0</f>
        <v>0</v>
      </c>
      <c r="F17" s="114">
        <f>0</f>
        <v>0</v>
      </c>
      <c r="G17" s="114">
        <f>0</f>
        <v>0</v>
      </c>
      <c r="H17" s="114">
        <f>0</f>
        <v>0</v>
      </c>
      <c r="I17" s="114">
        <f>0</f>
        <v>0</v>
      </c>
      <c r="J17" s="114">
        <f>0</f>
        <v>0</v>
      </c>
      <c r="K17" s="114">
        <f>0</f>
        <v>0</v>
      </c>
      <c r="L17" s="114">
        <f>0</f>
        <v>0</v>
      </c>
      <c r="M17" s="114">
        <f>0</f>
        <v>0</v>
      </c>
      <c r="N17" s="114">
        <f>0</f>
        <v>0</v>
      </c>
      <c r="O17" s="114">
        <f>0</f>
        <v>0</v>
      </c>
      <c r="P17" s="114">
        <f>0</f>
        <v>0</v>
      </c>
      <c r="Q17" s="114">
        <f>0</f>
        <v>0</v>
      </c>
      <c r="R17" s="114">
        <f>0</f>
        <v>0</v>
      </c>
      <c r="S17" s="114">
        <f>0</f>
        <v>0</v>
      </c>
      <c r="T17" s="114">
        <f>0</f>
        <v>0</v>
      </c>
      <c r="U17" s="114">
        <f>0</f>
        <v>0</v>
      </c>
      <c r="V17" s="114">
        <f>0</f>
        <v>0</v>
      </c>
      <c r="W17" s="114">
        <f>0</f>
        <v>0</v>
      </c>
      <c r="X17" s="114">
        <f>0</f>
        <v>0</v>
      </c>
      <c r="Y17" s="114">
        <f>0</f>
        <v>0</v>
      </c>
      <c r="Z17" s="114">
        <f>0</f>
        <v>0</v>
      </c>
      <c r="AA17" s="114">
        <f>0</f>
        <v>0</v>
      </c>
      <c r="AB17" s="114">
        <f>0</f>
        <v>0</v>
      </c>
      <c r="AC17" s="114">
        <f>0</f>
        <v>0</v>
      </c>
      <c r="AD17" s="114">
        <f>0</f>
        <v>0</v>
      </c>
      <c r="AE17" s="114">
        <f>0</f>
        <v>0</v>
      </c>
      <c r="AF17" s="114">
        <f>0</f>
        <v>0</v>
      </c>
      <c r="AG17" s="114">
        <f>0</f>
        <v>0</v>
      </c>
      <c r="AH17" s="114">
        <f>0</f>
        <v>0</v>
      </c>
      <c r="AI17" s="114">
        <f>0</f>
        <v>0</v>
      </c>
      <c r="AJ17" s="114">
        <f>0</f>
        <v>0</v>
      </c>
      <c r="AK17" s="114">
        <f>0</f>
        <v>0</v>
      </c>
      <c r="AL17" s="114">
        <f>0</f>
        <v>0</v>
      </c>
      <c r="AM17" s="114">
        <f>0</f>
        <v>0</v>
      </c>
      <c r="AN17" s="114">
        <f>0</f>
        <v>0</v>
      </c>
      <c r="AO17" s="114">
        <f>0</f>
        <v>0</v>
      </c>
    </row>
    <row r="18" spans="1:41" s="36" customFormat="1">
      <c r="A18" s="112" t="s">
        <v>112</v>
      </c>
      <c r="B18" s="113" t="s">
        <v>6</v>
      </c>
      <c r="C18" s="114">
        <f>7541339.07</f>
        <v>7541339.0700000003</v>
      </c>
      <c r="D18" s="114">
        <f>498007.02</f>
        <v>498007.02</v>
      </c>
      <c r="E18" s="114">
        <f>249994.7</f>
        <v>249994.7</v>
      </c>
      <c r="F18" s="114">
        <f>235898.36</f>
        <v>235898.36</v>
      </c>
      <c r="G18" s="114">
        <f>250603.4</f>
        <v>250603.4</v>
      </c>
      <c r="H18" s="114">
        <f>29865.4</f>
        <v>29865.4</v>
      </c>
      <c r="I18" s="114">
        <f>29465.4</f>
        <v>29465.4</v>
      </c>
      <c r="J18" s="114">
        <f>29444.4</f>
        <v>29444.400000000001</v>
      </c>
      <c r="K18" s="114">
        <f>29426.4</f>
        <v>29426.400000000001</v>
      </c>
      <c r="L18" s="114">
        <f>29221.4</f>
        <v>29221.4</v>
      </c>
      <c r="M18" s="114">
        <f>29219.4</f>
        <v>29219.4</v>
      </c>
      <c r="N18" s="114">
        <f t="shared" ref="N18:T18" si="1">28419.4</f>
        <v>28419.4</v>
      </c>
      <c r="O18" s="114">
        <f t="shared" si="1"/>
        <v>28419.4</v>
      </c>
      <c r="P18" s="114">
        <f t="shared" si="1"/>
        <v>28419.4</v>
      </c>
      <c r="Q18" s="114">
        <f t="shared" si="1"/>
        <v>28419.4</v>
      </c>
      <c r="R18" s="114">
        <f t="shared" si="1"/>
        <v>28419.4</v>
      </c>
      <c r="S18" s="114">
        <f t="shared" si="1"/>
        <v>28419.4</v>
      </c>
      <c r="T18" s="114">
        <f t="shared" si="1"/>
        <v>28419.4</v>
      </c>
      <c r="U18" s="114">
        <f>416</f>
        <v>416</v>
      </c>
      <c r="V18" s="114">
        <f>0</f>
        <v>0</v>
      </c>
      <c r="W18" s="114">
        <f>0</f>
        <v>0</v>
      </c>
      <c r="X18" s="114">
        <f>0</f>
        <v>0</v>
      </c>
      <c r="Y18" s="114">
        <f>0</f>
        <v>0</v>
      </c>
      <c r="Z18" s="114">
        <f>0</f>
        <v>0</v>
      </c>
      <c r="AA18" s="114">
        <f>0</f>
        <v>0</v>
      </c>
      <c r="AB18" s="114">
        <f>0</f>
        <v>0</v>
      </c>
      <c r="AC18" s="114">
        <f>0</f>
        <v>0</v>
      </c>
      <c r="AD18" s="114">
        <f>0</f>
        <v>0</v>
      </c>
      <c r="AE18" s="114">
        <f>0</f>
        <v>0</v>
      </c>
      <c r="AF18" s="114">
        <f>0</f>
        <v>0</v>
      </c>
      <c r="AG18" s="114">
        <f>0</f>
        <v>0</v>
      </c>
      <c r="AH18" s="114">
        <f>0</f>
        <v>0</v>
      </c>
      <c r="AI18" s="114">
        <f>0</f>
        <v>0</v>
      </c>
      <c r="AJ18" s="114">
        <f>0</f>
        <v>0</v>
      </c>
      <c r="AK18" s="114">
        <f>0</f>
        <v>0</v>
      </c>
      <c r="AL18" s="114">
        <f>0</f>
        <v>0</v>
      </c>
      <c r="AM18" s="114">
        <f>0</f>
        <v>0</v>
      </c>
      <c r="AN18" s="114">
        <f>0</f>
        <v>0</v>
      </c>
      <c r="AO18" s="114">
        <f>0</f>
        <v>0</v>
      </c>
    </row>
    <row r="19" spans="1:41" s="36" customFormat="1" ht="24">
      <c r="A19" s="136" t="s">
        <v>114</v>
      </c>
      <c r="B19" s="139" t="s">
        <v>154</v>
      </c>
      <c r="C19" s="138">
        <f>48738.35</f>
        <v>48738.35</v>
      </c>
      <c r="D19" s="138">
        <f>0</f>
        <v>0</v>
      </c>
      <c r="E19" s="138">
        <f>0</f>
        <v>0</v>
      </c>
      <c r="F19" s="138">
        <f>0</f>
        <v>0</v>
      </c>
      <c r="G19" s="138">
        <f>0</f>
        <v>0</v>
      </c>
      <c r="H19" s="138">
        <f>0</f>
        <v>0</v>
      </c>
      <c r="I19" s="138">
        <f>0</f>
        <v>0</v>
      </c>
      <c r="J19" s="138">
        <f>0</f>
        <v>0</v>
      </c>
      <c r="K19" s="138">
        <f>0</f>
        <v>0</v>
      </c>
      <c r="L19" s="138">
        <f>0</f>
        <v>0</v>
      </c>
      <c r="M19" s="138">
        <f>0</f>
        <v>0</v>
      </c>
      <c r="N19" s="138">
        <f>0</f>
        <v>0</v>
      </c>
      <c r="O19" s="138">
        <f>0</f>
        <v>0</v>
      </c>
      <c r="P19" s="138">
        <f>0</f>
        <v>0</v>
      </c>
      <c r="Q19" s="138">
        <f>0</f>
        <v>0</v>
      </c>
      <c r="R19" s="138">
        <f>0</f>
        <v>0</v>
      </c>
      <c r="S19" s="138">
        <f>0</f>
        <v>0</v>
      </c>
      <c r="T19" s="138">
        <f>0</f>
        <v>0</v>
      </c>
      <c r="U19" s="138">
        <f>0</f>
        <v>0</v>
      </c>
      <c r="V19" s="138">
        <f>0</f>
        <v>0</v>
      </c>
      <c r="W19" s="138">
        <f>0</f>
        <v>0</v>
      </c>
      <c r="X19" s="138">
        <f>0</f>
        <v>0</v>
      </c>
      <c r="Y19" s="138">
        <f>0</f>
        <v>0</v>
      </c>
      <c r="Z19" s="138">
        <f>0</f>
        <v>0</v>
      </c>
      <c r="AA19" s="138">
        <f>0</f>
        <v>0</v>
      </c>
      <c r="AB19" s="138">
        <f>0</f>
        <v>0</v>
      </c>
      <c r="AC19" s="138">
        <f>0</f>
        <v>0</v>
      </c>
      <c r="AD19" s="138">
        <f>0</f>
        <v>0</v>
      </c>
      <c r="AE19" s="138">
        <f>0</f>
        <v>0</v>
      </c>
      <c r="AF19" s="138">
        <f>0</f>
        <v>0</v>
      </c>
      <c r="AG19" s="138">
        <f>0</f>
        <v>0</v>
      </c>
      <c r="AH19" s="138">
        <f>0</f>
        <v>0</v>
      </c>
      <c r="AI19" s="138">
        <f>0</f>
        <v>0</v>
      </c>
      <c r="AJ19" s="138">
        <f>0</f>
        <v>0</v>
      </c>
      <c r="AK19" s="138">
        <f>0</f>
        <v>0</v>
      </c>
      <c r="AL19" s="138">
        <f>0</f>
        <v>0</v>
      </c>
      <c r="AM19" s="138">
        <f>0</f>
        <v>0</v>
      </c>
      <c r="AN19" s="138">
        <f>0</f>
        <v>0</v>
      </c>
      <c r="AO19" s="138">
        <f>0</f>
        <v>0</v>
      </c>
    </row>
    <row r="20" spans="1:41" s="36" customFormat="1">
      <c r="A20" s="107">
        <v>3</v>
      </c>
      <c r="B20" s="56" t="s">
        <v>116</v>
      </c>
      <c r="C20" s="108">
        <f>128404200.14</f>
        <v>128404200.14</v>
      </c>
      <c r="D20" s="108">
        <f>111211949.35</f>
        <v>111211949.34999999</v>
      </c>
      <c r="E20" s="108">
        <f>31754798</f>
        <v>31754798</v>
      </c>
      <c r="F20" s="108">
        <f>38505626</f>
        <v>38505626</v>
      </c>
      <c r="G20" s="108">
        <f>31310706</f>
        <v>31310706</v>
      </c>
      <c r="H20" s="108">
        <f>30611028</f>
        <v>30611028</v>
      </c>
      <c r="I20" s="108">
        <f>31229358</f>
        <v>31229358</v>
      </c>
      <c r="J20" s="108">
        <f>28866239</f>
        <v>28866239</v>
      </c>
      <c r="K20" s="108">
        <f>28522226</f>
        <v>28522226</v>
      </c>
      <c r="L20" s="108">
        <f>27197893</f>
        <v>27197893</v>
      </c>
      <c r="M20" s="108">
        <f>26893830</f>
        <v>26893830</v>
      </c>
      <c r="N20" s="108">
        <f>28110645</f>
        <v>28110645</v>
      </c>
      <c r="O20" s="108">
        <f>25848965</f>
        <v>25848965</v>
      </c>
      <c r="P20" s="108">
        <f>26609434</f>
        <v>26609434</v>
      </c>
      <c r="Q20" s="108">
        <f>27392717</f>
        <v>27392717</v>
      </c>
      <c r="R20" s="108">
        <f>28199498</f>
        <v>28199498</v>
      </c>
      <c r="S20" s="108">
        <f>29030483</f>
        <v>29030483</v>
      </c>
      <c r="T20" s="108">
        <f>29886397</f>
        <v>29886397</v>
      </c>
      <c r="U20" s="108">
        <f>30767989</f>
        <v>30767989</v>
      </c>
      <c r="V20" s="108">
        <f>0</f>
        <v>0</v>
      </c>
      <c r="W20" s="108">
        <f>0</f>
        <v>0</v>
      </c>
      <c r="X20" s="108">
        <f>0</f>
        <v>0</v>
      </c>
      <c r="Y20" s="108">
        <f>0</f>
        <v>0</v>
      </c>
      <c r="Z20" s="108">
        <f>0</f>
        <v>0</v>
      </c>
      <c r="AA20" s="108">
        <f>0</f>
        <v>0</v>
      </c>
      <c r="AB20" s="108">
        <f>0</f>
        <v>0</v>
      </c>
      <c r="AC20" s="108">
        <f>0</f>
        <v>0</v>
      </c>
      <c r="AD20" s="108">
        <f>0</f>
        <v>0</v>
      </c>
      <c r="AE20" s="108">
        <f>0</f>
        <v>0</v>
      </c>
      <c r="AF20" s="108">
        <f>0</f>
        <v>0</v>
      </c>
      <c r="AG20" s="108">
        <f>0</f>
        <v>0</v>
      </c>
      <c r="AH20" s="108">
        <f>0</f>
        <v>0</v>
      </c>
      <c r="AI20" s="108">
        <f>0</f>
        <v>0</v>
      </c>
      <c r="AJ20" s="108">
        <f>0</f>
        <v>0</v>
      </c>
      <c r="AK20" s="108">
        <f>0</f>
        <v>0</v>
      </c>
      <c r="AL20" s="108">
        <f>0</f>
        <v>0</v>
      </c>
      <c r="AM20" s="108">
        <f>0</f>
        <v>0</v>
      </c>
      <c r="AN20" s="108">
        <f>0</f>
        <v>0</v>
      </c>
      <c r="AO20" s="108">
        <f>0</f>
        <v>0</v>
      </c>
    </row>
    <row r="21" spans="1:41" s="36" customFormat="1" ht="24">
      <c r="A21" s="133">
        <v>4</v>
      </c>
      <c r="B21" s="134" t="s">
        <v>60</v>
      </c>
      <c r="C21" s="135">
        <f>25991557.72</f>
        <v>25991557.719999999</v>
      </c>
      <c r="D21" s="135">
        <f>0</f>
        <v>0</v>
      </c>
      <c r="E21" s="135">
        <f>0</f>
        <v>0</v>
      </c>
      <c r="F21" s="135">
        <f>0</f>
        <v>0</v>
      </c>
      <c r="G21" s="135">
        <f>0</f>
        <v>0</v>
      </c>
      <c r="H21" s="135">
        <f>0</f>
        <v>0</v>
      </c>
      <c r="I21" s="135">
        <f>0</f>
        <v>0</v>
      </c>
      <c r="J21" s="135">
        <f>0</f>
        <v>0</v>
      </c>
      <c r="K21" s="135">
        <f>0</f>
        <v>0</v>
      </c>
      <c r="L21" s="135">
        <f>0</f>
        <v>0</v>
      </c>
      <c r="M21" s="135">
        <f>0</f>
        <v>0</v>
      </c>
      <c r="N21" s="135">
        <f>0</f>
        <v>0</v>
      </c>
      <c r="O21" s="135">
        <f>0</f>
        <v>0</v>
      </c>
      <c r="P21" s="135">
        <f>0</f>
        <v>0</v>
      </c>
      <c r="Q21" s="135">
        <f>0</f>
        <v>0</v>
      </c>
      <c r="R21" s="135">
        <f>0</f>
        <v>0</v>
      </c>
      <c r="S21" s="135">
        <f>0</f>
        <v>0</v>
      </c>
      <c r="T21" s="135">
        <f>0</f>
        <v>0</v>
      </c>
      <c r="U21" s="135">
        <f>0</f>
        <v>0</v>
      </c>
      <c r="V21" s="135">
        <f>0</f>
        <v>0</v>
      </c>
      <c r="W21" s="135">
        <f>0</f>
        <v>0</v>
      </c>
      <c r="X21" s="135">
        <f>0</f>
        <v>0</v>
      </c>
      <c r="Y21" s="135">
        <f>0</f>
        <v>0</v>
      </c>
      <c r="Z21" s="135">
        <f>0</f>
        <v>0</v>
      </c>
      <c r="AA21" s="135">
        <f>0</f>
        <v>0</v>
      </c>
      <c r="AB21" s="135">
        <f>0</f>
        <v>0</v>
      </c>
      <c r="AC21" s="135">
        <f>0</f>
        <v>0</v>
      </c>
      <c r="AD21" s="135">
        <f>0</f>
        <v>0</v>
      </c>
      <c r="AE21" s="135">
        <f>0</f>
        <v>0</v>
      </c>
      <c r="AF21" s="135">
        <f>0</f>
        <v>0</v>
      </c>
      <c r="AG21" s="135">
        <f>0</f>
        <v>0</v>
      </c>
      <c r="AH21" s="135">
        <f>0</f>
        <v>0</v>
      </c>
      <c r="AI21" s="135">
        <f>0</f>
        <v>0</v>
      </c>
      <c r="AJ21" s="135">
        <f>0</f>
        <v>0</v>
      </c>
      <c r="AK21" s="135">
        <f>0</f>
        <v>0</v>
      </c>
      <c r="AL21" s="135">
        <f>0</f>
        <v>0</v>
      </c>
      <c r="AM21" s="135">
        <f>0</f>
        <v>0</v>
      </c>
      <c r="AN21" s="135">
        <f>0</f>
        <v>0</v>
      </c>
      <c r="AO21" s="135">
        <f>0</f>
        <v>0</v>
      </c>
    </row>
    <row r="22" spans="1:41" s="36" customFormat="1">
      <c r="A22" s="136" t="s">
        <v>117</v>
      </c>
      <c r="B22" s="139" t="s">
        <v>61</v>
      </c>
      <c r="C22" s="138">
        <f>10844973.48</f>
        <v>10844973.48</v>
      </c>
      <c r="D22" s="138">
        <f>0</f>
        <v>0</v>
      </c>
      <c r="E22" s="138">
        <f>0</f>
        <v>0</v>
      </c>
      <c r="F22" s="138">
        <f>0</f>
        <v>0</v>
      </c>
      <c r="G22" s="138">
        <f>0</f>
        <v>0</v>
      </c>
      <c r="H22" s="138">
        <f>0</f>
        <v>0</v>
      </c>
      <c r="I22" s="138">
        <f>0</f>
        <v>0</v>
      </c>
      <c r="J22" s="138">
        <f>0</f>
        <v>0</v>
      </c>
      <c r="K22" s="138">
        <f>0</f>
        <v>0</v>
      </c>
      <c r="L22" s="138">
        <f>0</f>
        <v>0</v>
      </c>
      <c r="M22" s="138">
        <f>0</f>
        <v>0</v>
      </c>
      <c r="N22" s="138">
        <f>0</f>
        <v>0</v>
      </c>
      <c r="O22" s="138">
        <f>0</f>
        <v>0</v>
      </c>
      <c r="P22" s="138">
        <f>0</f>
        <v>0</v>
      </c>
      <c r="Q22" s="138">
        <f>0</f>
        <v>0</v>
      </c>
      <c r="R22" s="138">
        <f>0</f>
        <v>0</v>
      </c>
      <c r="S22" s="138">
        <f>0</f>
        <v>0</v>
      </c>
      <c r="T22" s="138">
        <f>0</f>
        <v>0</v>
      </c>
      <c r="U22" s="138">
        <f>0</f>
        <v>0</v>
      </c>
      <c r="V22" s="138">
        <f>0</f>
        <v>0</v>
      </c>
      <c r="W22" s="138">
        <f>0</f>
        <v>0</v>
      </c>
      <c r="X22" s="138">
        <f>0</f>
        <v>0</v>
      </c>
      <c r="Y22" s="138">
        <f>0</f>
        <v>0</v>
      </c>
      <c r="Z22" s="138">
        <f>0</f>
        <v>0</v>
      </c>
      <c r="AA22" s="138">
        <f>0</f>
        <v>0</v>
      </c>
      <c r="AB22" s="138">
        <f>0</f>
        <v>0</v>
      </c>
      <c r="AC22" s="138">
        <f>0</f>
        <v>0</v>
      </c>
      <c r="AD22" s="138">
        <f>0</f>
        <v>0</v>
      </c>
      <c r="AE22" s="138">
        <f>0</f>
        <v>0</v>
      </c>
      <c r="AF22" s="138">
        <f>0</f>
        <v>0</v>
      </c>
      <c r="AG22" s="138">
        <f>0</f>
        <v>0</v>
      </c>
      <c r="AH22" s="138">
        <f>0</f>
        <v>0</v>
      </c>
      <c r="AI22" s="138">
        <f>0</f>
        <v>0</v>
      </c>
      <c r="AJ22" s="138">
        <f>0</f>
        <v>0</v>
      </c>
      <c r="AK22" s="138">
        <f>0</f>
        <v>0</v>
      </c>
      <c r="AL22" s="138">
        <f>0</f>
        <v>0</v>
      </c>
      <c r="AM22" s="138">
        <f>0</f>
        <v>0</v>
      </c>
      <c r="AN22" s="138">
        <f>0</f>
        <v>0</v>
      </c>
      <c r="AO22" s="138">
        <f>0</f>
        <v>0</v>
      </c>
    </row>
    <row r="23" spans="1:41" s="36" customFormat="1">
      <c r="A23" s="133">
        <v>5</v>
      </c>
      <c r="B23" s="134" t="s">
        <v>119</v>
      </c>
      <c r="C23" s="135">
        <f>0</f>
        <v>0</v>
      </c>
      <c r="D23" s="135">
        <f>0</f>
        <v>0</v>
      </c>
      <c r="E23" s="135">
        <f>0</f>
        <v>0</v>
      </c>
      <c r="F23" s="135">
        <f>0</f>
        <v>0</v>
      </c>
      <c r="G23" s="135">
        <f>0</f>
        <v>0</v>
      </c>
      <c r="H23" s="135">
        <f>0</f>
        <v>0</v>
      </c>
      <c r="I23" s="135">
        <f>0</f>
        <v>0</v>
      </c>
      <c r="J23" s="135">
        <f>0</f>
        <v>0</v>
      </c>
      <c r="K23" s="135">
        <f>0</f>
        <v>0</v>
      </c>
      <c r="L23" s="135">
        <f>0</f>
        <v>0</v>
      </c>
      <c r="M23" s="135">
        <f>0</f>
        <v>0</v>
      </c>
      <c r="N23" s="135">
        <f>0</f>
        <v>0</v>
      </c>
      <c r="O23" s="135">
        <f>0</f>
        <v>0</v>
      </c>
      <c r="P23" s="135">
        <f>0</f>
        <v>0</v>
      </c>
      <c r="Q23" s="135">
        <f>0</f>
        <v>0</v>
      </c>
      <c r="R23" s="135">
        <f>0</f>
        <v>0</v>
      </c>
      <c r="S23" s="135">
        <f>0</f>
        <v>0</v>
      </c>
      <c r="T23" s="135">
        <f>0</f>
        <v>0</v>
      </c>
      <c r="U23" s="135">
        <f>0</f>
        <v>0</v>
      </c>
      <c r="V23" s="135">
        <f>0</f>
        <v>0</v>
      </c>
      <c r="W23" s="135">
        <f>0</f>
        <v>0</v>
      </c>
      <c r="X23" s="135">
        <f>0</f>
        <v>0</v>
      </c>
      <c r="Y23" s="135">
        <f>0</f>
        <v>0</v>
      </c>
      <c r="Z23" s="135">
        <f>0</f>
        <v>0</v>
      </c>
      <c r="AA23" s="135">
        <f>0</f>
        <v>0</v>
      </c>
      <c r="AB23" s="135">
        <f>0</f>
        <v>0</v>
      </c>
      <c r="AC23" s="135">
        <f>0</f>
        <v>0</v>
      </c>
      <c r="AD23" s="135">
        <f>0</f>
        <v>0</v>
      </c>
      <c r="AE23" s="135">
        <f>0</f>
        <v>0</v>
      </c>
      <c r="AF23" s="135">
        <f>0</f>
        <v>0</v>
      </c>
      <c r="AG23" s="135">
        <f>0</f>
        <v>0</v>
      </c>
      <c r="AH23" s="135">
        <f>0</f>
        <v>0</v>
      </c>
      <c r="AI23" s="135">
        <f>0</f>
        <v>0</v>
      </c>
      <c r="AJ23" s="135">
        <f>0</f>
        <v>0</v>
      </c>
      <c r="AK23" s="135">
        <f>0</f>
        <v>0</v>
      </c>
      <c r="AL23" s="135">
        <f>0</f>
        <v>0</v>
      </c>
      <c r="AM23" s="135">
        <f>0</f>
        <v>0</v>
      </c>
      <c r="AN23" s="135">
        <f>0</f>
        <v>0</v>
      </c>
      <c r="AO23" s="135">
        <f>0</f>
        <v>0</v>
      </c>
    </row>
    <row r="24" spans="1:41" s="36" customFormat="1">
      <c r="A24" s="136" t="s">
        <v>120</v>
      </c>
      <c r="B24" s="139" t="s">
        <v>61</v>
      </c>
      <c r="C24" s="138">
        <f>0</f>
        <v>0</v>
      </c>
      <c r="D24" s="138">
        <f>0</f>
        <v>0</v>
      </c>
      <c r="E24" s="138">
        <f>0</f>
        <v>0</v>
      </c>
      <c r="F24" s="138">
        <f>0</f>
        <v>0</v>
      </c>
      <c r="G24" s="138">
        <f>0</f>
        <v>0</v>
      </c>
      <c r="H24" s="138">
        <f>0</f>
        <v>0</v>
      </c>
      <c r="I24" s="138">
        <f>0</f>
        <v>0</v>
      </c>
      <c r="J24" s="138">
        <f>0</f>
        <v>0</v>
      </c>
      <c r="K24" s="138">
        <f>0</f>
        <v>0</v>
      </c>
      <c r="L24" s="138">
        <f>0</f>
        <v>0</v>
      </c>
      <c r="M24" s="138">
        <f>0</f>
        <v>0</v>
      </c>
      <c r="N24" s="138">
        <f>0</f>
        <v>0</v>
      </c>
      <c r="O24" s="138">
        <f>0</f>
        <v>0</v>
      </c>
      <c r="P24" s="138">
        <f>0</f>
        <v>0</v>
      </c>
      <c r="Q24" s="138">
        <f>0</f>
        <v>0</v>
      </c>
      <c r="R24" s="138">
        <f>0</f>
        <v>0</v>
      </c>
      <c r="S24" s="138">
        <f>0</f>
        <v>0</v>
      </c>
      <c r="T24" s="138">
        <f>0</f>
        <v>0</v>
      </c>
      <c r="U24" s="138">
        <f>0</f>
        <v>0</v>
      </c>
      <c r="V24" s="138">
        <f>0</f>
        <v>0</v>
      </c>
      <c r="W24" s="138">
        <f>0</f>
        <v>0</v>
      </c>
      <c r="X24" s="138">
        <f>0</f>
        <v>0</v>
      </c>
      <c r="Y24" s="138">
        <f>0</f>
        <v>0</v>
      </c>
      <c r="Z24" s="138">
        <f>0</f>
        <v>0</v>
      </c>
      <c r="AA24" s="138">
        <f>0</f>
        <v>0</v>
      </c>
      <c r="AB24" s="138">
        <f>0</f>
        <v>0</v>
      </c>
      <c r="AC24" s="138">
        <f>0</f>
        <v>0</v>
      </c>
      <c r="AD24" s="138">
        <f>0</f>
        <v>0</v>
      </c>
      <c r="AE24" s="138">
        <f>0</f>
        <v>0</v>
      </c>
      <c r="AF24" s="138">
        <f>0</f>
        <v>0</v>
      </c>
      <c r="AG24" s="138">
        <f>0</f>
        <v>0</v>
      </c>
      <c r="AH24" s="138">
        <f>0</f>
        <v>0</v>
      </c>
      <c r="AI24" s="138">
        <f>0</f>
        <v>0</v>
      </c>
      <c r="AJ24" s="138">
        <f>0</f>
        <v>0</v>
      </c>
      <c r="AK24" s="138">
        <f>0</f>
        <v>0</v>
      </c>
      <c r="AL24" s="138">
        <f>0</f>
        <v>0</v>
      </c>
      <c r="AM24" s="138">
        <f>0</f>
        <v>0</v>
      </c>
      <c r="AN24" s="138">
        <f>0</f>
        <v>0</v>
      </c>
      <c r="AO24" s="138">
        <f>0</f>
        <v>0</v>
      </c>
    </row>
    <row r="25" spans="1:41" s="36" customFormat="1">
      <c r="A25" s="107">
        <v>6</v>
      </c>
      <c r="B25" s="56" t="s">
        <v>121</v>
      </c>
      <c r="C25" s="108">
        <f>154395757.86</f>
        <v>154395757.86000001</v>
      </c>
      <c r="D25" s="108">
        <f>111211949.35</f>
        <v>111211949.34999999</v>
      </c>
      <c r="E25" s="108">
        <f>31754798</f>
        <v>31754798</v>
      </c>
      <c r="F25" s="108">
        <f>38505626</f>
        <v>38505626</v>
      </c>
      <c r="G25" s="108">
        <f>31310706</f>
        <v>31310706</v>
      </c>
      <c r="H25" s="108">
        <f>30611028</f>
        <v>30611028</v>
      </c>
      <c r="I25" s="108">
        <f>31229358</f>
        <v>31229358</v>
      </c>
      <c r="J25" s="108">
        <f>28866239</f>
        <v>28866239</v>
      </c>
      <c r="K25" s="108">
        <f>28522226</f>
        <v>28522226</v>
      </c>
      <c r="L25" s="108">
        <f>27197893</f>
        <v>27197893</v>
      </c>
      <c r="M25" s="108">
        <f>26893830</f>
        <v>26893830</v>
      </c>
      <c r="N25" s="108">
        <f>28110645</f>
        <v>28110645</v>
      </c>
      <c r="O25" s="108">
        <f>25848965</f>
        <v>25848965</v>
      </c>
      <c r="P25" s="108">
        <f>26609434</f>
        <v>26609434</v>
      </c>
      <c r="Q25" s="108">
        <f>27392717</f>
        <v>27392717</v>
      </c>
      <c r="R25" s="108">
        <f>28199498</f>
        <v>28199498</v>
      </c>
      <c r="S25" s="108">
        <f>29030483</f>
        <v>29030483</v>
      </c>
      <c r="T25" s="108">
        <f>29886397</f>
        <v>29886397</v>
      </c>
      <c r="U25" s="108">
        <f>30767989</f>
        <v>30767989</v>
      </c>
      <c r="V25" s="108">
        <f>0</f>
        <v>0</v>
      </c>
      <c r="W25" s="108">
        <f>0</f>
        <v>0</v>
      </c>
      <c r="X25" s="108">
        <f>0</f>
        <v>0</v>
      </c>
      <c r="Y25" s="108">
        <f>0</f>
        <v>0</v>
      </c>
      <c r="Z25" s="108">
        <f>0</f>
        <v>0</v>
      </c>
      <c r="AA25" s="108">
        <f>0</f>
        <v>0</v>
      </c>
      <c r="AB25" s="108">
        <f>0</f>
        <v>0</v>
      </c>
      <c r="AC25" s="108">
        <f>0</f>
        <v>0</v>
      </c>
      <c r="AD25" s="108">
        <f>0</f>
        <v>0</v>
      </c>
      <c r="AE25" s="108">
        <f>0</f>
        <v>0</v>
      </c>
      <c r="AF25" s="108">
        <f>0</f>
        <v>0</v>
      </c>
      <c r="AG25" s="108">
        <f>0</f>
        <v>0</v>
      </c>
      <c r="AH25" s="108">
        <f>0</f>
        <v>0</v>
      </c>
      <c r="AI25" s="108">
        <f>0</f>
        <v>0</v>
      </c>
      <c r="AJ25" s="108">
        <f>0</f>
        <v>0</v>
      </c>
      <c r="AK25" s="108">
        <f>0</f>
        <v>0</v>
      </c>
      <c r="AL25" s="108">
        <f>0</f>
        <v>0</v>
      </c>
      <c r="AM25" s="108">
        <f>0</f>
        <v>0</v>
      </c>
      <c r="AN25" s="108">
        <f>0</f>
        <v>0</v>
      </c>
      <c r="AO25" s="108">
        <f>0</f>
        <v>0</v>
      </c>
    </row>
    <row r="26" spans="1:41" s="36" customFormat="1">
      <c r="A26" s="133">
        <v>7</v>
      </c>
      <c r="B26" s="134" t="s">
        <v>12</v>
      </c>
      <c r="C26" s="135">
        <f>22141584.24</f>
        <v>22141584.239999998</v>
      </c>
      <c r="D26" s="135">
        <f>25037864</f>
        <v>25037864</v>
      </c>
      <c r="E26" s="135">
        <f>25034020</f>
        <v>25034020</v>
      </c>
      <c r="F26" s="135">
        <f>28743266</f>
        <v>28743266</v>
      </c>
      <c r="G26" s="135">
        <f>24542316</f>
        <v>24542316</v>
      </c>
      <c r="H26" s="135">
        <f>24014208</f>
        <v>24014208</v>
      </c>
      <c r="I26" s="135">
        <f>22743119</f>
        <v>22743119</v>
      </c>
      <c r="J26" s="135">
        <f>24246425</f>
        <v>24246425</v>
      </c>
      <c r="K26" s="135">
        <f>24628960</f>
        <v>24628960</v>
      </c>
      <c r="L26" s="135">
        <f>25062460</f>
        <v>25062460</v>
      </c>
      <c r="M26" s="135">
        <f>24528840</f>
        <v>24528840</v>
      </c>
      <c r="N26" s="135">
        <f>15505045</f>
        <v>15505045</v>
      </c>
      <c r="O26" s="135">
        <f>3734037</f>
        <v>3734037</v>
      </c>
      <c r="P26" s="135">
        <f>3715911</f>
        <v>3715911</v>
      </c>
      <c r="Q26" s="135">
        <f>3697785</f>
        <v>3697785</v>
      </c>
      <c r="R26" s="135">
        <f>3679658</f>
        <v>3679658</v>
      </c>
      <c r="S26" s="135">
        <f>3661532</f>
        <v>3661532</v>
      </c>
      <c r="T26" s="135">
        <f>3661532.37</f>
        <v>3661532.37</v>
      </c>
      <c r="U26" s="135">
        <f>0</f>
        <v>0</v>
      </c>
      <c r="V26" s="135">
        <f>0</f>
        <v>0</v>
      </c>
      <c r="W26" s="135">
        <f>0</f>
        <v>0</v>
      </c>
      <c r="X26" s="135">
        <f>0</f>
        <v>0</v>
      </c>
      <c r="Y26" s="135">
        <f>0</f>
        <v>0</v>
      </c>
      <c r="Z26" s="135">
        <f>0</f>
        <v>0</v>
      </c>
      <c r="AA26" s="135">
        <f>0</f>
        <v>0</v>
      </c>
      <c r="AB26" s="135">
        <f>0</f>
        <v>0</v>
      </c>
      <c r="AC26" s="135">
        <f>0</f>
        <v>0</v>
      </c>
      <c r="AD26" s="135">
        <f>0</f>
        <v>0</v>
      </c>
      <c r="AE26" s="135">
        <f>0</f>
        <v>0</v>
      </c>
      <c r="AF26" s="135">
        <f>0</f>
        <v>0</v>
      </c>
      <c r="AG26" s="135">
        <f>0</f>
        <v>0</v>
      </c>
      <c r="AH26" s="135">
        <f>0</f>
        <v>0</v>
      </c>
      <c r="AI26" s="135">
        <f>0</f>
        <v>0</v>
      </c>
      <c r="AJ26" s="135">
        <f>0</f>
        <v>0</v>
      </c>
      <c r="AK26" s="135">
        <f>0</f>
        <v>0</v>
      </c>
      <c r="AL26" s="135">
        <f>0</f>
        <v>0</v>
      </c>
      <c r="AM26" s="135">
        <f>0</f>
        <v>0</v>
      </c>
      <c r="AN26" s="135">
        <f>0</f>
        <v>0</v>
      </c>
      <c r="AO26" s="135">
        <f>0</f>
        <v>0</v>
      </c>
    </row>
    <row r="27" spans="1:41" s="36" customFormat="1" ht="24">
      <c r="A27" s="112" t="s">
        <v>122</v>
      </c>
      <c r="B27" s="118" t="s">
        <v>159</v>
      </c>
      <c r="C27" s="114">
        <f>15146584.24</f>
        <v>15146584.24</v>
      </c>
      <c r="D27" s="114">
        <f>17037855</f>
        <v>17037855</v>
      </c>
      <c r="E27" s="114">
        <f>16900000</f>
        <v>16900000</v>
      </c>
      <c r="F27" s="114">
        <f>20744409</f>
        <v>20744409</v>
      </c>
      <c r="G27" s="114">
        <f>17467560</f>
        <v>17467560</v>
      </c>
      <c r="H27" s="114">
        <f>15586023</f>
        <v>15586023</v>
      </c>
      <c r="I27" s="114">
        <f>17110112</f>
        <v>17110112</v>
      </c>
      <c r="J27" s="114">
        <f>19400000</f>
        <v>19400000</v>
      </c>
      <c r="K27" s="114">
        <f>20700000</f>
        <v>20700000</v>
      </c>
      <c r="L27" s="114">
        <f>22083017</f>
        <v>22083017</v>
      </c>
      <c r="M27" s="114">
        <f>22649236</f>
        <v>22649236</v>
      </c>
      <c r="N27" s="114">
        <f>14709433</f>
        <v>14709433</v>
      </c>
      <c r="O27" s="114">
        <f>3625279</f>
        <v>3625279</v>
      </c>
      <c r="P27" s="114">
        <f>3625279</f>
        <v>3625279</v>
      </c>
      <c r="Q27" s="114">
        <f>3625279</f>
        <v>3625279</v>
      </c>
      <c r="R27" s="114">
        <f>3625279</f>
        <v>3625279</v>
      </c>
      <c r="S27" s="114">
        <f>3625279</f>
        <v>3625279</v>
      </c>
      <c r="T27" s="114">
        <f>3625279.37</f>
        <v>3625279.37</v>
      </c>
      <c r="U27" s="114">
        <f>0</f>
        <v>0</v>
      </c>
      <c r="V27" s="114">
        <f>0</f>
        <v>0</v>
      </c>
      <c r="W27" s="114">
        <f>0</f>
        <v>0</v>
      </c>
      <c r="X27" s="114">
        <f>0</f>
        <v>0</v>
      </c>
      <c r="Y27" s="114">
        <f>0</f>
        <v>0</v>
      </c>
      <c r="Z27" s="114">
        <f>0</f>
        <v>0</v>
      </c>
      <c r="AA27" s="114">
        <f>0</f>
        <v>0</v>
      </c>
      <c r="AB27" s="114">
        <f>0</f>
        <v>0</v>
      </c>
      <c r="AC27" s="114">
        <f>0</f>
        <v>0</v>
      </c>
      <c r="AD27" s="114">
        <f>0</f>
        <v>0</v>
      </c>
      <c r="AE27" s="114">
        <f>0</f>
        <v>0</v>
      </c>
      <c r="AF27" s="114">
        <f>0</f>
        <v>0</v>
      </c>
      <c r="AG27" s="114">
        <f>0</f>
        <v>0</v>
      </c>
      <c r="AH27" s="114">
        <f>0</f>
        <v>0</v>
      </c>
      <c r="AI27" s="114">
        <f>0</f>
        <v>0</v>
      </c>
      <c r="AJ27" s="114">
        <f>0</f>
        <v>0</v>
      </c>
      <c r="AK27" s="114">
        <f>0</f>
        <v>0</v>
      </c>
      <c r="AL27" s="114">
        <f>0</f>
        <v>0</v>
      </c>
      <c r="AM27" s="114">
        <f>0</f>
        <v>0</v>
      </c>
      <c r="AN27" s="114">
        <f>0</f>
        <v>0</v>
      </c>
      <c r="AO27" s="114">
        <f>0</f>
        <v>0</v>
      </c>
    </row>
    <row r="28" spans="1:41" s="36" customFormat="1" ht="24">
      <c r="A28" s="112" t="s">
        <v>124</v>
      </c>
      <c r="B28" s="115" t="s">
        <v>157</v>
      </c>
      <c r="C28" s="114">
        <f>173448.19</f>
        <v>173448.19</v>
      </c>
      <c r="D28" s="114">
        <f>966894.22</f>
        <v>966894.22</v>
      </c>
      <c r="E28" s="114">
        <f>866427.86</f>
        <v>866427.86</v>
      </c>
      <c r="F28" s="114">
        <f>0</f>
        <v>0</v>
      </c>
      <c r="G28" s="114">
        <f>0</f>
        <v>0</v>
      </c>
      <c r="H28" s="114">
        <f>0</f>
        <v>0</v>
      </c>
      <c r="I28" s="114">
        <f>0</f>
        <v>0</v>
      </c>
      <c r="J28" s="114">
        <f>0</f>
        <v>0</v>
      </c>
      <c r="K28" s="114">
        <f>0</f>
        <v>0</v>
      </c>
      <c r="L28" s="114">
        <f>0</f>
        <v>0</v>
      </c>
      <c r="M28" s="114">
        <f>0</f>
        <v>0</v>
      </c>
      <c r="N28" s="114">
        <f>0</f>
        <v>0</v>
      </c>
      <c r="O28" s="114">
        <f>0</f>
        <v>0</v>
      </c>
      <c r="P28" s="114">
        <f>0</f>
        <v>0</v>
      </c>
      <c r="Q28" s="114">
        <f>0</f>
        <v>0</v>
      </c>
      <c r="R28" s="114">
        <f>0</f>
        <v>0</v>
      </c>
      <c r="S28" s="114">
        <f>0</f>
        <v>0</v>
      </c>
      <c r="T28" s="114">
        <f>0</f>
        <v>0</v>
      </c>
      <c r="U28" s="114">
        <f>0</f>
        <v>0</v>
      </c>
      <c r="V28" s="114">
        <f>0</f>
        <v>0</v>
      </c>
      <c r="W28" s="114">
        <f>0</f>
        <v>0</v>
      </c>
      <c r="X28" s="114">
        <f>0</f>
        <v>0</v>
      </c>
      <c r="Y28" s="114">
        <f>0</f>
        <v>0</v>
      </c>
      <c r="Z28" s="114">
        <f>0</f>
        <v>0</v>
      </c>
      <c r="AA28" s="114">
        <f>0</f>
        <v>0</v>
      </c>
      <c r="AB28" s="114">
        <f>0</f>
        <v>0</v>
      </c>
      <c r="AC28" s="114">
        <f>0</f>
        <v>0</v>
      </c>
      <c r="AD28" s="114">
        <f>0</f>
        <v>0</v>
      </c>
      <c r="AE28" s="114">
        <f>0</f>
        <v>0</v>
      </c>
      <c r="AF28" s="114">
        <f>0</f>
        <v>0</v>
      </c>
      <c r="AG28" s="114">
        <f>0</f>
        <v>0</v>
      </c>
      <c r="AH28" s="114">
        <f>0</f>
        <v>0</v>
      </c>
      <c r="AI28" s="114">
        <f>0</f>
        <v>0</v>
      </c>
      <c r="AJ28" s="114">
        <f>0</f>
        <v>0</v>
      </c>
      <c r="AK28" s="114">
        <f>0</f>
        <v>0</v>
      </c>
      <c r="AL28" s="114">
        <f>0</f>
        <v>0</v>
      </c>
      <c r="AM28" s="114">
        <f>0</f>
        <v>0</v>
      </c>
      <c r="AN28" s="114">
        <f>0</f>
        <v>0</v>
      </c>
      <c r="AO28" s="114">
        <f>0</f>
        <v>0</v>
      </c>
    </row>
    <row r="29" spans="1:41" s="36" customFormat="1">
      <c r="A29" s="112" t="s">
        <v>126</v>
      </c>
      <c r="B29" s="113" t="s">
        <v>160</v>
      </c>
      <c r="C29" s="114">
        <f>6995000</f>
        <v>6995000</v>
      </c>
      <c r="D29" s="114">
        <f>8000009</f>
        <v>8000009</v>
      </c>
      <c r="E29" s="114">
        <f>8134020</f>
        <v>8134020</v>
      </c>
      <c r="F29" s="114">
        <f>7998857</f>
        <v>7998857</v>
      </c>
      <c r="G29" s="114">
        <f>7074756</f>
        <v>7074756</v>
      </c>
      <c r="H29" s="114">
        <f>8428185</f>
        <v>8428185</v>
      </c>
      <c r="I29" s="114">
        <f>5633007</f>
        <v>5633007</v>
      </c>
      <c r="J29" s="114">
        <f>4846425</f>
        <v>4846425</v>
      </c>
      <c r="K29" s="114">
        <f>3928960</f>
        <v>3928960</v>
      </c>
      <c r="L29" s="114">
        <f>2979443</f>
        <v>2979443</v>
      </c>
      <c r="M29" s="114">
        <f>1879604</f>
        <v>1879604</v>
      </c>
      <c r="N29" s="114">
        <f>795612</f>
        <v>795612</v>
      </c>
      <c r="O29" s="114">
        <f>108758</f>
        <v>108758</v>
      </c>
      <c r="P29" s="114">
        <f>90632</f>
        <v>90632</v>
      </c>
      <c r="Q29" s="114">
        <f>72506</f>
        <v>72506</v>
      </c>
      <c r="R29" s="114">
        <f>54379</f>
        <v>54379</v>
      </c>
      <c r="S29" s="114">
        <f>36253</f>
        <v>36253</v>
      </c>
      <c r="T29" s="114">
        <f>36253</f>
        <v>36253</v>
      </c>
      <c r="U29" s="114">
        <f>0</f>
        <v>0</v>
      </c>
      <c r="V29" s="114">
        <f>0</f>
        <v>0</v>
      </c>
      <c r="W29" s="114">
        <f>0</f>
        <v>0</v>
      </c>
      <c r="X29" s="114">
        <f>0</f>
        <v>0</v>
      </c>
      <c r="Y29" s="114">
        <f>0</f>
        <v>0</v>
      </c>
      <c r="Z29" s="114">
        <f>0</f>
        <v>0</v>
      </c>
      <c r="AA29" s="114">
        <f>0</f>
        <v>0</v>
      </c>
      <c r="AB29" s="114">
        <f>0</f>
        <v>0</v>
      </c>
      <c r="AC29" s="114">
        <f>0</f>
        <v>0</v>
      </c>
      <c r="AD29" s="114">
        <f>0</f>
        <v>0</v>
      </c>
      <c r="AE29" s="114">
        <f>0</f>
        <v>0</v>
      </c>
      <c r="AF29" s="114">
        <f>0</f>
        <v>0</v>
      </c>
      <c r="AG29" s="114">
        <f>0</f>
        <v>0</v>
      </c>
      <c r="AH29" s="114">
        <f>0</f>
        <v>0</v>
      </c>
      <c r="AI29" s="114">
        <f>0</f>
        <v>0</v>
      </c>
      <c r="AJ29" s="114">
        <f>0</f>
        <v>0</v>
      </c>
      <c r="AK29" s="114">
        <f>0</f>
        <v>0</v>
      </c>
      <c r="AL29" s="114">
        <f>0</f>
        <v>0</v>
      </c>
      <c r="AM29" s="114">
        <f>0</f>
        <v>0</v>
      </c>
      <c r="AN29" s="114">
        <f>0</f>
        <v>0</v>
      </c>
      <c r="AO29" s="114">
        <f>0</f>
        <v>0</v>
      </c>
    </row>
    <row r="30" spans="1:41" s="36" customFormat="1">
      <c r="A30" s="136" t="s">
        <v>128</v>
      </c>
      <c r="B30" s="137" t="s">
        <v>158</v>
      </c>
      <c r="C30" s="138">
        <f>6995000</f>
        <v>6995000</v>
      </c>
      <c r="D30" s="138">
        <f>8000009</f>
        <v>8000009</v>
      </c>
      <c r="E30" s="138">
        <f>8134020</f>
        <v>8134020</v>
      </c>
      <c r="F30" s="138">
        <f>7998857</f>
        <v>7998857</v>
      </c>
      <c r="G30" s="138">
        <f>7074756</f>
        <v>7074756</v>
      </c>
      <c r="H30" s="138">
        <f>8428185</f>
        <v>8428185</v>
      </c>
      <c r="I30" s="138">
        <f>5633007</f>
        <v>5633007</v>
      </c>
      <c r="J30" s="138">
        <f>4846425</f>
        <v>4846425</v>
      </c>
      <c r="K30" s="138">
        <f>3928960</f>
        <v>3928960</v>
      </c>
      <c r="L30" s="138">
        <f>2979443</f>
        <v>2979443</v>
      </c>
      <c r="M30" s="138">
        <f>1879604</f>
        <v>1879604</v>
      </c>
      <c r="N30" s="138">
        <f>795612</f>
        <v>795612</v>
      </c>
      <c r="O30" s="138">
        <f>108758</f>
        <v>108758</v>
      </c>
      <c r="P30" s="138">
        <f>90632</f>
        <v>90632</v>
      </c>
      <c r="Q30" s="138">
        <f>72506</f>
        <v>72506</v>
      </c>
      <c r="R30" s="138">
        <f>54379</f>
        <v>54379</v>
      </c>
      <c r="S30" s="138">
        <f>36253</f>
        <v>36253</v>
      </c>
      <c r="T30" s="138">
        <f>36253</f>
        <v>36253</v>
      </c>
      <c r="U30" s="138">
        <f>0</f>
        <v>0</v>
      </c>
      <c r="V30" s="138">
        <f>0</f>
        <v>0</v>
      </c>
      <c r="W30" s="138">
        <f>0</f>
        <v>0</v>
      </c>
      <c r="X30" s="138">
        <f>0</f>
        <v>0</v>
      </c>
      <c r="Y30" s="138">
        <f>0</f>
        <v>0</v>
      </c>
      <c r="Z30" s="138">
        <f>0</f>
        <v>0</v>
      </c>
      <c r="AA30" s="138">
        <f>0</f>
        <v>0</v>
      </c>
      <c r="AB30" s="138">
        <f>0</f>
        <v>0</v>
      </c>
      <c r="AC30" s="138">
        <f>0</f>
        <v>0</v>
      </c>
      <c r="AD30" s="138">
        <f>0</f>
        <v>0</v>
      </c>
      <c r="AE30" s="138">
        <f>0</f>
        <v>0</v>
      </c>
      <c r="AF30" s="138">
        <f>0</f>
        <v>0</v>
      </c>
      <c r="AG30" s="138">
        <f>0</f>
        <v>0</v>
      </c>
      <c r="AH30" s="138">
        <f>0</f>
        <v>0</v>
      </c>
      <c r="AI30" s="138">
        <f>0</f>
        <v>0</v>
      </c>
      <c r="AJ30" s="138">
        <f>0</f>
        <v>0</v>
      </c>
      <c r="AK30" s="138">
        <f>0</f>
        <v>0</v>
      </c>
      <c r="AL30" s="138">
        <f>0</f>
        <v>0</v>
      </c>
      <c r="AM30" s="138">
        <f>0</f>
        <v>0</v>
      </c>
      <c r="AN30" s="138">
        <f>0</f>
        <v>0</v>
      </c>
      <c r="AO30" s="138">
        <f>0</f>
        <v>0</v>
      </c>
    </row>
    <row r="31" spans="1:41" s="36" customFormat="1">
      <c r="A31" s="107">
        <v>8</v>
      </c>
      <c r="B31" s="109" t="s">
        <v>130</v>
      </c>
      <c r="C31" s="108">
        <f>0</f>
        <v>0</v>
      </c>
      <c r="D31" s="108">
        <f>0</f>
        <v>0</v>
      </c>
      <c r="E31" s="108">
        <f>0</f>
        <v>0</v>
      </c>
      <c r="F31" s="108">
        <f>0</f>
        <v>0</v>
      </c>
      <c r="G31" s="108">
        <f>0</f>
        <v>0</v>
      </c>
      <c r="H31" s="108">
        <f>0</f>
        <v>0</v>
      </c>
      <c r="I31" s="108">
        <f>0</f>
        <v>0</v>
      </c>
      <c r="J31" s="108">
        <f>0</f>
        <v>0</v>
      </c>
      <c r="K31" s="108">
        <f>0</f>
        <v>0</v>
      </c>
      <c r="L31" s="108">
        <f>0</f>
        <v>0</v>
      </c>
      <c r="M31" s="108">
        <f>0</f>
        <v>0</v>
      </c>
      <c r="N31" s="108">
        <f>0</f>
        <v>0</v>
      </c>
      <c r="O31" s="108">
        <f>0</f>
        <v>0</v>
      </c>
      <c r="P31" s="108">
        <f>0</f>
        <v>0</v>
      </c>
      <c r="Q31" s="108">
        <f>0</f>
        <v>0</v>
      </c>
      <c r="R31" s="108">
        <f>0</f>
        <v>0</v>
      </c>
      <c r="S31" s="108">
        <f>0</f>
        <v>0</v>
      </c>
      <c r="T31" s="108">
        <f>0</f>
        <v>0</v>
      </c>
      <c r="U31" s="108">
        <f>0</f>
        <v>0</v>
      </c>
      <c r="V31" s="108">
        <f>0</f>
        <v>0</v>
      </c>
      <c r="W31" s="108">
        <f>0</f>
        <v>0</v>
      </c>
      <c r="X31" s="108">
        <f>0</f>
        <v>0</v>
      </c>
      <c r="Y31" s="108">
        <f>0</f>
        <v>0</v>
      </c>
      <c r="Z31" s="108">
        <f>0</f>
        <v>0</v>
      </c>
      <c r="AA31" s="108">
        <f>0</f>
        <v>0</v>
      </c>
      <c r="AB31" s="108">
        <f>0</f>
        <v>0</v>
      </c>
      <c r="AC31" s="108">
        <f>0</f>
        <v>0</v>
      </c>
      <c r="AD31" s="108">
        <f>0</f>
        <v>0</v>
      </c>
      <c r="AE31" s="108">
        <f>0</f>
        <v>0</v>
      </c>
      <c r="AF31" s="108">
        <f>0</f>
        <v>0</v>
      </c>
      <c r="AG31" s="108">
        <f>0</f>
        <v>0</v>
      </c>
      <c r="AH31" s="108">
        <f>0</f>
        <v>0</v>
      </c>
      <c r="AI31" s="108">
        <f>0</f>
        <v>0</v>
      </c>
      <c r="AJ31" s="108">
        <f>0</f>
        <v>0</v>
      </c>
      <c r="AK31" s="108">
        <f>0</f>
        <v>0</v>
      </c>
      <c r="AL31" s="108">
        <f>0</f>
        <v>0</v>
      </c>
      <c r="AM31" s="108">
        <f>0</f>
        <v>0</v>
      </c>
      <c r="AN31" s="108">
        <f>0</f>
        <v>0</v>
      </c>
      <c r="AO31" s="108">
        <f>0</f>
        <v>0</v>
      </c>
    </row>
    <row r="32" spans="1:41" s="36" customFormat="1">
      <c r="A32" s="107">
        <v>9</v>
      </c>
      <c r="B32" s="56" t="s">
        <v>131</v>
      </c>
      <c r="C32" s="108">
        <f>132254173.62</f>
        <v>132254173.62</v>
      </c>
      <c r="D32" s="108">
        <f>86174085.35</f>
        <v>86174085.349999994</v>
      </c>
      <c r="E32" s="108">
        <f>6720778</f>
        <v>6720778</v>
      </c>
      <c r="F32" s="108">
        <f>9762360</f>
        <v>9762360</v>
      </c>
      <c r="G32" s="108">
        <f>6768390</f>
        <v>6768390</v>
      </c>
      <c r="H32" s="108">
        <f>6596820</f>
        <v>6596820</v>
      </c>
      <c r="I32" s="108">
        <f>8486239</f>
        <v>8486239</v>
      </c>
      <c r="J32" s="108">
        <f>4619814</f>
        <v>4619814</v>
      </c>
      <c r="K32" s="108">
        <f>3893266</f>
        <v>3893266</v>
      </c>
      <c r="L32" s="108">
        <f>2135433</f>
        <v>2135433</v>
      </c>
      <c r="M32" s="108">
        <f>2364990</f>
        <v>2364990</v>
      </c>
      <c r="N32" s="108">
        <f>12605600</f>
        <v>12605600</v>
      </c>
      <c r="O32" s="108">
        <f>22114928</f>
        <v>22114928</v>
      </c>
      <c r="P32" s="108">
        <f>22893523</f>
        <v>22893523</v>
      </c>
      <c r="Q32" s="108">
        <f>23694932</f>
        <v>23694932</v>
      </c>
      <c r="R32" s="108">
        <f>24519840</f>
        <v>24519840</v>
      </c>
      <c r="S32" s="108">
        <f>25368951</f>
        <v>25368951</v>
      </c>
      <c r="T32" s="108">
        <f>26224864.63</f>
        <v>26224864.629999999</v>
      </c>
      <c r="U32" s="108">
        <f>30767989</f>
        <v>30767989</v>
      </c>
      <c r="V32" s="108">
        <f>0</f>
        <v>0</v>
      </c>
      <c r="W32" s="108">
        <f>0</f>
        <v>0</v>
      </c>
      <c r="X32" s="108">
        <f>0</f>
        <v>0</v>
      </c>
      <c r="Y32" s="108">
        <f>0</f>
        <v>0</v>
      </c>
      <c r="Z32" s="108">
        <f>0</f>
        <v>0</v>
      </c>
      <c r="AA32" s="108">
        <f>0</f>
        <v>0</v>
      </c>
      <c r="AB32" s="108">
        <f>0</f>
        <v>0</v>
      </c>
      <c r="AC32" s="108">
        <f>0</f>
        <v>0</v>
      </c>
      <c r="AD32" s="108">
        <f>0</f>
        <v>0</v>
      </c>
      <c r="AE32" s="108">
        <f>0</f>
        <v>0</v>
      </c>
      <c r="AF32" s="108">
        <f>0</f>
        <v>0</v>
      </c>
      <c r="AG32" s="108">
        <f>0</f>
        <v>0</v>
      </c>
      <c r="AH32" s="108">
        <f>0</f>
        <v>0</v>
      </c>
      <c r="AI32" s="108">
        <f>0</f>
        <v>0</v>
      </c>
      <c r="AJ32" s="108">
        <f>0</f>
        <v>0</v>
      </c>
      <c r="AK32" s="108">
        <f>0</f>
        <v>0</v>
      </c>
      <c r="AL32" s="108">
        <f>0</f>
        <v>0</v>
      </c>
      <c r="AM32" s="108">
        <f>0</f>
        <v>0</v>
      </c>
      <c r="AN32" s="108">
        <f>0</f>
        <v>0</v>
      </c>
      <c r="AO32" s="108">
        <f>0</f>
        <v>0</v>
      </c>
    </row>
    <row r="33" spans="1:41" s="36" customFormat="1">
      <c r="A33" s="133">
        <v>10</v>
      </c>
      <c r="B33" s="134" t="s">
        <v>18</v>
      </c>
      <c r="C33" s="135">
        <f>177416177.41</f>
        <v>177416177.41</v>
      </c>
      <c r="D33" s="135">
        <f>132545726.54</f>
        <v>132545726.54000001</v>
      </c>
      <c r="E33" s="135">
        <f>30214323</f>
        <v>30214323</v>
      </c>
      <c r="F33" s="135">
        <f>9762360</f>
        <v>9762360</v>
      </c>
      <c r="G33" s="135">
        <f>6768390</f>
        <v>6768390</v>
      </c>
      <c r="H33" s="135">
        <f>6596820</f>
        <v>6596820</v>
      </c>
      <c r="I33" s="135">
        <f>8486239</f>
        <v>8486239</v>
      </c>
      <c r="J33" s="135">
        <f>4619814</f>
        <v>4619814</v>
      </c>
      <c r="K33" s="135">
        <f>3893266</f>
        <v>3893266</v>
      </c>
      <c r="L33" s="135">
        <f>2135433</f>
        <v>2135433</v>
      </c>
      <c r="M33" s="135">
        <f>2364990</f>
        <v>2364990</v>
      </c>
      <c r="N33" s="135">
        <f>12605600</f>
        <v>12605600</v>
      </c>
      <c r="O33" s="135">
        <f>22114928</f>
        <v>22114928</v>
      </c>
      <c r="P33" s="135">
        <f>22893523</f>
        <v>22893523</v>
      </c>
      <c r="Q33" s="135">
        <f>23694932</f>
        <v>23694932</v>
      </c>
      <c r="R33" s="135">
        <f>24519840</f>
        <v>24519840</v>
      </c>
      <c r="S33" s="135">
        <f>25368951</f>
        <v>25368951</v>
      </c>
      <c r="T33" s="135">
        <f>26224864.63</f>
        <v>26224864.629999999</v>
      </c>
      <c r="U33" s="135">
        <f>30767989</f>
        <v>30767989</v>
      </c>
      <c r="V33" s="135">
        <f>0</f>
        <v>0</v>
      </c>
      <c r="W33" s="135">
        <f>0</f>
        <v>0</v>
      </c>
      <c r="X33" s="135">
        <f>0</f>
        <v>0</v>
      </c>
      <c r="Y33" s="135">
        <f>0</f>
        <v>0</v>
      </c>
      <c r="Z33" s="135">
        <f>0</f>
        <v>0</v>
      </c>
      <c r="AA33" s="135">
        <f>0</f>
        <v>0</v>
      </c>
      <c r="AB33" s="135">
        <f>0</f>
        <v>0</v>
      </c>
      <c r="AC33" s="135">
        <f>0</f>
        <v>0</v>
      </c>
      <c r="AD33" s="135">
        <f>0</f>
        <v>0</v>
      </c>
      <c r="AE33" s="135">
        <f>0</f>
        <v>0</v>
      </c>
      <c r="AF33" s="135">
        <f>0</f>
        <v>0</v>
      </c>
      <c r="AG33" s="135">
        <f>0</f>
        <v>0</v>
      </c>
      <c r="AH33" s="135">
        <f>0</f>
        <v>0</v>
      </c>
      <c r="AI33" s="135">
        <f>0</f>
        <v>0</v>
      </c>
      <c r="AJ33" s="135">
        <f>0</f>
        <v>0</v>
      </c>
      <c r="AK33" s="135">
        <f>0</f>
        <v>0</v>
      </c>
      <c r="AL33" s="135">
        <f>0</f>
        <v>0</v>
      </c>
      <c r="AM33" s="135">
        <f>0</f>
        <v>0</v>
      </c>
      <c r="AN33" s="135">
        <f>0</f>
        <v>0</v>
      </c>
      <c r="AO33" s="135">
        <f>0</f>
        <v>0</v>
      </c>
    </row>
    <row r="34" spans="1:41" s="36" customFormat="1">
      <c r="A34" s="112" t="s">
        <v>132</v>
      </c>
      <c r="B34" s="113" t="s">
        <v>161</v>
      </c>
      <c r="C34" s="114">
        <f>155291910.46</f>
        <v>155291910.46000001</v>
      </c>
      <c r="D34" s="114">
        <f>110305212.97</f>
        <v>110305212.97</v>
      </c>
      <c r="E34" s="114">
        <f>15074409.1</f>
        <v>15074409.1</v>
      </c>
      <c r="F34" s="114">
        <f>1506785</f>
        <v>1506785</v>
      </c>
      <c r="G34" s="114">
        <f>71340</f>
        <v>71340</v>
      </c>
      <c r="H34" s="114">
        <f>71340</f>
        <v>71340</v>
      </c>
      <c r="I34" s="114">
        <f>71340</f>
        <v>71340</v>
      </c>
      <c r="J34" s="114">
        <f>71340</f>
        <v>71340</v>
      </c>
      <c r="K34" s="114">
        <f>0</f>
        <v>0</v>
      </c>
      <c r="L34" s="114">
        <f>0</f>
        <v>0</v>
      </c>
      <c r="M34" s="114">
        <f>0</f>
        <v>0</v>
      </c>
      <c r="N34" s="114">
        <f>0</f>
        <v>0</v>
      </c>
      <c r="O34" s="114">
        <f>0</f>
        <v>0</v>
      </c>
      <c r="P34" s="114">
        <f>0</f>
        <v>0</v>
      </c>
      <c r="Q34" s="114">
        <f>0</f>
        <v>0</v>
      </c>
      <c r="R34" s="114">
        <f>0</f>
        <v>0</v>
      </c>
      <c r="S34" s="114">
        <f>0</f>
        <v>0</v>
      </c>
      <c r="T34" s="114">
        <f>0</f>
        <v>0</v>
      </c>
      <c r="U34" s="114">
        <f>0</f>
        <v>0</v>
      </c>
      <c r="V34" s="114">
        <f>0</f>
        <v>0</v>
      </c>
      <c r="W34" s="114">
        <f>0</f>
        <v>0</v>
      </c>
      <c r="X34" s="114">
        <f>0</f>
        <v>0</v>
      </c>
      <c r="Y34" s="114">
        <f>0</f>
        <v>0</v>
      </c>
      <c r="Z34" s="114">
        <f>0</f>
        <v>0</v>
      </c>
      <c r="AA34" s="114">
        <f>0</f>
        <v>0</v>
      </c>
      <c r="AB34" s="114">
        <f>0</f>
        <v>0</v>
      </c>
      <c r="AC34" s="114">
        <f>0</f>
        <v>0</v>
      </c>
      <c r="AD34" s="114">
        <f>0</f>
        <v>0</v>
      </c>
      <c r="AE34" s="114">
        <f>0</f>
        <v>0</v>
      </c>
      <c r="AF34" s="114">
        <f>0</f>
        <v>0</v>
      </c>
      <c r="AG34" s="114">
        <f>0</f>
        <v>0</v>
      </c>
      <c r="AH34" s="114">
        <f>0</f>
        <v>0</v>
      </c>
      <c r="AI34" s="114">
        <f>0</f>
        <v>0</v>
      </c>
      <c r="AJ34" s="114">
        <f>0</f>
        <v>0</v>
      </c>
      <c r="AK34" s="114">
        <f>0</f>
        <v>0</v>
      </c>
      <c r="AL34" s="114">
        <f>0</f>
        <v>0</v>
      </c>
      <c r="AM34" s="114">
        <f>0</f>
        <v>0</v>
      </c>
      <c r="AN34" s="114">
        <f>0</f>
        <v>0</v>
      </c>
      <c r="AO34" s="114">
        <f>0</f>
        <v>0</v>
      </c>
    </row>
    <row r="35" spans="1:41" s="36" customFormat="1" ht="24">
      <c r="A35" s="136" t="s">
        <v>134</v>
      </c>
      <c r="B35" s="139" t="s">
        <v>154</v>
      </c>
      <c r="C35" s="138">
        <f>147433138.58</f>
        <v>147433138.58000001</v>
      </c>
      <c r="D35" s="138">
        <f>104352345.43</f>
        <v>104352345.43000001</v>
      </c>
      <c r="E35" s="138">
        <f>10239163.01</f>
        <v>10239163.01</v>
      </c>
      <c r="F35" s="138">
        <f>331361.78</f>
        <v>331361.78000000003</v>
      </c>
      <c r="G35" s="138">
        <f>0</f>
        <v>0</v>
      </c>
      <c r="H35" s="138">
        <f>0</f>
        <v>0</v>
      </c>
      <c r="I35" s="138">
        <f>0</f>
        <v>0</v>
      </c>
      <c r="J35" s="138">
        <f>0</f>
        <v>0</v>
      </c>
      <c r="K35" s="138">
        <f>0</f>
        <v>0</v>
      </c>
      <c r="L35" s="138">
        <f>0</f>
        <v>0</v>
      </c>
      <c r="M35" s="138">
        <f>0</f>
        <v>0</v>
      </c>
      <c r="N35" s="138">
        <f>0</f>
        <v>0</v>
      </c>
      <c r="O35" s="138">
        <f>0</f>
        <v>0</v>
      </c>
      <c r="P35" s="138">
        <f>0</f>
        <v>0</v>
      </c>
      <c r="Q35" s="138">
        <f>0</f>
        <v>0</v>
      </c>
      <c r="R35" s="138">
        <f>0</f>
        <v>0</v>
      </c>
      <c r="S35" s="138">
        <f>0</f>
        <v>0</v>
      </c>
      <c r="T35" s="138">
        <f>0</f>
        <v>0</v>
      </c>
      <c r="U35" s="138">
        <f>0</f>
        <v>0</v>
      </c>
      <c r="V35" s="138">
        <f>0</f>
        <v>0</v>
      </c>
      <c r="W35" s="138">
        <f>0</f>
        <v>0</v>
      </c>
      <c r="X35" s="138">
        <f>0</f>
        <v>0</v>
      </c>
      <c r="Y35" s="138">
        <f>0</f>
        <v>0</v>
      </c>
      <c r="Z35" s="138">
        <f>0</f>
        <v>0</v>
      </c>
      <c r="AA35" s="138">
        <f>0</f>
        <v>0</v>
      </c>
      <c r="AB35" s="138">
        <f>0</f>
        <v>0</v>
      </c>
      <c r="AC35" s="138">
        <f>0</f>
        <v>0</v>
      </c>
      <c r="AD35" s="138">
        <f>0</f>
        <v>0</v>
      </c>
      <c r="AE35" s="138">
        <f>0</f>
        <v>0</v>
      </c>
      <c r="AF35" s="138">
        <f>0</f>
        <v>0</v>
      </c>
      <c r="AG35" s="138">
        <f>0</f>
        <v>0</v>
      </c>
      <c r="AH35" s="138">
        <f>0</f>
        <v>0</v>
      </c>
      <c r="AI35" s="138">
        <f>0</f>
        <v>0</v>
      </c>
      <c r="AJ35" s="138">
        <f>0</f>
        <v>0</v>
      </c>
      <c r="AK35" s="138">
        <f>0</f>
        <v>0</v>
      </c>
      <c r="AL35" s="138">
        <f>0</f>
        <v>0</v>
      </c>
      <c r="AM35" s="138">
        <f>0</f>
        <v>0</v>
      </c>
      <c r="AN35" s="138">
        <f>0</f>
        <v>0</v>
      </c>
      <c r="AO35" s="138">
        <f>0</f>
        <v>0</v>
      </c>
    </row>
    <row r="36" spans="1:41" s="36" customFormat="1">
      <c r="A36" s="133">
        <v>11</v>
      </c>
      <c r="B36" s="134" t="s">
        <v>62</v>
      </c>
      <c r="C36" s="141">
        <f>45162003.79</f>
        <v>45162003.789999999</v>
      </c>
      <c r="D36" s="141">
        <f>46371641.19</f>
        <v>46371641.189999998</v>
      </c>
      <c r="E36" s="141">
        <f>23493545</f>
        <v>23493545</v>
      </c>
      <c r="F36" s="141">
        <f>0</f>
        <v>0</v>
      </c>
      <c r="G36" s="141">
        <f>0</f>
        <v>0</v>
      </c>
      <c r="H36" s="141">
        <f>0</f>
        <v>0</v>
      </c>
      <c r="I36" s="141">
        <f>0</f>
        <v>0</v>
      </c>
      <c r="J36" s="141">
        <f>0</f>
        <v>0</v>
      </c>
      <c r="K36" s="141">
        <f>0</f>
        <v>0</v>
      </c>
      <c r="L36" s="141">
        <f>0</f>
        <v>0</v>
      </c>
      <c r="M36" s="141">
        <f>0</f>
        <v>0</v>
      </c>
      <c r="N36" s="141">
        <f>0</f>
        <v>0</v>
      </c>
      <c r="O36" s="141">
        <f>0</f>
        <v>0</v>
      </c>
      <c r="P36" s="141">
        <f>0</f>
        <v>0</v>
      </c>
      <c r="Q36" s="141">
        <f>0</f>
        <v>0</v>
      </c>
      <c r="R36" s="141">
        <f>0</f>
        <v>0</v>
      </c>
      <c r="S36" s="141">
        <f>0</f>
        <v>0</v>
      </c>
      <c r="T36" s="141">
        <f>0</f>
        <v>0</v>
      </c>
      <c r="U36" s="141">
        <f>0</f>
        <v>0</v>
      </c>
      <c r="V36" s="141">
        <f>0</f>
        <v>0</v>
      </c>
      <c r="W36" s="141">
        <f>0</f>
        <v>0</v>
      </c>
      <c r="X36" s="141">
        <f>0</f>
        <v>0</v>
      </c>
      <c r="Y36" s="141">
        <f>0</f>
        <v>0</v>
      </c>
      <c r="Z36" s="141">
        <f>0</f>
        <v>0</v>
      </c>
      <c r="AA36" s="141">
        <f>0</f>
        <v>0</v>
      </c>
      <c r="AB36" s="141">
        <f>0</f>
        <v>0</v>
      </c>
      <c r="AC36" s="141">
        <f>0</f>
        <v>0</v>
      </c>
      <c r="AD36" s="141">
        <f>0</f>
        <v>0</v>
      </c>
      <c r="AE36" s="141">
        <f>0</f>
        <v>0</v>
      </c>
      <c r="AF36" s="141">
        <f>0</f>
        <v>0</v>
      </c>
      <c r="AG36" s="141">
        <f>0</f>
        <v>0</v>
      </c>
      <c r="AH36" s="141">
        <f>0</f>
        <v>0</v>
      </c>
      <c r="AI36" s="141">
        <f>0</f>
        <v>0</v>
      </c>
      <c r="AJ36" s="141">
        <f>0</f>
        <v>0</v>
      </c>
      <c r="AK36" s="141">
        <f>0</f>
        <v>0</v>
      </c>
      <c r="AL36" s="141">
        <f>0</f>
        <v>0</v>
      </c>
      <c r="AM36" s="141">
        <f>0</f>
        <v>0</v>
      </c>
      <c r="AN36" s="141">
        <f>0</f>
        <v>0</v>
      </c>
      <c r="AO36" s="141">
        <f>0</f>
        <v>0</v>
      </c>
    </row>
    <row r="37" spans="1:41" s="36" customFormat="1">
      <c r="A37" s="136" t="s">
        <v>135</v>
      </c>
      <c r="B37" s="139" t="s">
        <v>61</v>
      </c>
      <c r="C37" s="142">
        <f>45162003.79</f>
        <v>45162003.789999999</v>
      </c>
      <c r="D37" s="142">
        <f>29333786.19</f>
        <v>29333786.190000001</v>
      </c>
      <c r="E37" s="142">
        <f>6593545</f>
        <v>6593545</v>
      </c>
      <c r="F37" s="142">
        <f>0</f>
        <v>0</v>
      </c>
      <c r="G37" s="142">
        <f>0</f>
        <v>0</v>
      </c>
      <c r="H37" s="142">
        <f>0</f>
        <v>0</v>
      </c>
      <c r="I37" s="142">
        <f>0</f>
        <v>0</v>
      </c>
      <c r="J37" s="142">
        <f>0</f>
        <v>0</v>
      </c>
      <c r="K37" s="142">
        <f>0</f>
        <v>0</v>
      </c>
      <c r="L37" s="142">
        <f>0</f>
        <v>0</v>
      </c>
      <c r="M37" s="142">
        <f>0</f>
        <v>0</v>
      </c>
      <c r="N37" s="142">
        <f>0</f>
        <v>0</v>
      </c>
      <c r="O37" s="142">
        <f>0</f>
        <v>0</v>
      </c>
      <c r="P37" s="142">
        <f>0</f>
        <v>0</v>
      </c>
      <c r="Q37" s="142">
        <f>0</f>
        <v>0</v>
      </c>
      <c r="R37" s="142">
        <f>0</f>
        <v>0</v>
      </c>
      <c r="S37" s="142">
        <f>0</f>
        <v>0</v>
      </c>
      <c r="T37" s="142">
        <f>0</f>
        <v>0</v>
      </c>
      <c r="U37" s="142">
        <f>0</f>
        <v>0</v>
      </c>
      <c r="V37" s="142">
        <f>0</f>
        <v>0</v>
      </c>
      <c r="W37" s="142">
        <f>0</f>
        <v>0</v>
      </c>
      <c r="X37" s="142">
        <f>0</f>
        <v>0</v>
      </c>
      <c r="Y37" s="142">
        <f>0</f>
        <v>0</v>
      </c>
      <c r="Z37" s="142">
        <f>0</f>
        <v>0</v>
      </c>
      <c r="AA37" s="142">
        <f>0</f>
        <v>0</v>
      </c>
      <c r="AB37" s="142">
        <f>0</f>
        <v>0</v>
      </c>
      <c r="AC37" s="142">
        <f>0</f>
        <v>0</v>
      </c>
      <c r="AD37" s="142">
        <f>0</f>
        <v>0</v>
      </c>
      <c r="AE37" s="142">
        <f>0</f>
        <v>0</v>
      </c>
      <c r="AF37" s="142">
        <f>0</f>
        <v>0</v>
      </c>
      <c r="AG37" s="142">
        <f>0</f>
        <v>0</v>
      </c>
      <c r="AH37" s="142">
        <f>0</f>
        <v>0</v>
      </c>
      <c r="AI37" s="142">
        <f>0</f>
        <v>0</v>
      </c>
      <c r="AJ37" s="142">
        <f>0</f>
        <v>0</v>
      </c>
      <c r="AK37" s="142">
        <f>0</f>
        <v>0</v>
      </c>
      <c r="AL37" s="142">
        <f>0</f>
        <v>0</v>
      </c>
      <c r="AM37" s="142">
        <f>0</f>
        <v>0</v>
      </c>
      <c r="AN37" s="142">
        <f>0</f>
        <v>0</v>
      </c>
      <c r="AO37" s="142">
        <f>0</f>
        <v>0</v>
      </c>
    </row>
    <row r="38" spans="1:41" s="36" customFormat="1">
      <c r="A38" s="107">
        <v>12</v>
      </c>
      <c r="B38" s="56" t="s">
        <v>136</v>
      </c>
      <c r="C38" s="110">
        <f>0</f>
        <v>0</v>
      </c>
      <c r="D38" s="110">
        <f>0</f>
        <v>0</v>
      </c>
      <c r="E38" s="41">
        <f>0</f>
        <v>0</v>
      </c>
      <c r="F38" s="41">
        <f>0</f>
        <v>0</v>
      </c>
      <c r="G38" s="41">
        <f>0</f>
        <v>0</v>
      </c>
      <c r="H38" s="41">
        <f>0</f>
        <v>0</v>
      </c>
      <c r="I38" s="41">
        <f>0</f>
        <v>0</v>
      </c>
      <c r="J38" s="41">
        <f>0</f>
        <v>0</v>
      </c>
      <c r="K38" s="41">
        <f>0</f>
        <v>0</v>
      </c>
      <c r="L38" s="41">
        <f>0</f>
        <v>0</v>
      </c>
      <c r="M38" s="41">
        <f>0</f>
        <v>0</v>
      </c>
      <c r="N38" s="41">
        <f>0</f>
        <v>0</v>
      </c>
      <c r="O38" s="41">
        <f>0</f>
        <v>0</v>
      </c>
      <c r="P38" s="41">
        <f>0</f>
        <v>0</v>
      </c>
      <c r="Q38" s="41">
        <f>0</f>
        <v>0</v>
      </c>
      <c r="R38" s="41">
        <f>0</f>
        <v>0</v>
      </c>
      <c r="S38" s="41">
        <f>0</f>
        <v>0</v>
      </c>
      <c r="T38" s="41">
        <f>0</f>
        <v>0</v>
      </c>
      <c r="U38" s="41">
        <f>0</f>
        <v>0</v>
      </c>
      <c r="V38" s="41">
        <f>0</f>
        <v>0</v>
      </c>
      <c r="W38" s="41">
        <f>0</f>
        <v>0</v>
      </c>
      <c r="X38" s="41">
        <f>0</f>
        <v>0</v>
      </c>
      <c r="Y38" s="41">
        <f>0</f>
        <v>0</v>
      </c>
      <c r="Z38" s="41">
        <f>0</f>
        <v>0</v>
      </c>
      <c r="AA38" s="41">
        <f>0</f>
        <v>0</v>
      </c>
      <c r="AB38" s="41">
        <f>0</f>
        <v>0</v>
      </c>
      <c r="AC38" s="41">
        <f>0</f>
        <v>0</v>
      </c>
      <c r="AD38" s="41">
        <f>0</f>
        <v>0</v>
      </c>
      <c r="AE38" s="41">
        <f>0</f>
        <v>0</v>
      </c>
      <c r="AF38" s="41">
        <f>0</f>
        <v>0</v>
      </c>
      <c r="AG38" s="41">
        <f>0</f>
        <v>0</v>
      </c>
      <c r="AH38" s="41">
        <f>0</f>
        <v>0</v>
      </c>
      <c r="AI38" s="41">
        <f>0</f>
        <v>0</v>
      </c>
      <c r="AJ38" s="41">
        <f>0</f>
        <v>0</v>
      </c>
      <c r="AK38" s="41">
        <f>0</f>
        <v>0</v>
      </c>
      <c r="AL38" s="41">
        <f>0</f>
        <v>0</v>
      </c>
      <c r="AM38" s="41">
        <f>0</f>
        <v>0</v>
      </c>
      <c r="AN38" s="41">
        <f>0</f>
        <v>0</v>
      </c>
      <c r="AO38" s="41">
        <f>0</f>
        <v>0</v>
      </c>
    </row>
    <row r="39" spans="1:41" s="36" customFormat="1">
      <c r="A39" s="133">
        <v>13</v>
      </c>
      <c r="B39" s="134" t="s">
        <v>66</v>
      </c>
      <c r="C39" s="143">
        <f>156274133.18</f>
        <v>156274133.18000001</v>
      </c>
      <c r="D39" s="143">
        <f>185607919.37</f>
        <v>185607919.37</v>
      </c>
      <c r="E39" s="143">
        <f>192201464.37</f>
        <v>192201464.37</v>
      </c>
      <c r="F39" s="143">
        <f>171457055.37</f>
        <v>171457055.37</v>
      </c>
      <c r="G39" s="143">
        <f>153989495.37</f>
        <v>153989495.37</v>
      </c>
      <c r="H39" s="143">
        <f>138403472.37</f>
        <v>138403472.37</v>
      </c>
      <c r="I39" s="143">
        <f>121293360.37</f>
        <v>121293360.37</v>
      </c>
      <c r="J39" s="143">
        <f>101893360.37</f>
        <v>101893360.37</v>
      </c>
      <c r="K39" s="143">
        <f>81193360.37</f>
        <v>81193360.370000005</v>
      </c>
      <c r="L39" s="143">
        <f>59110343.37</f>
        <v>59110343.369999997</v>
      </c>
      <c r="M39" s="143">
        <f>36461107.37</f>
        <v>36461107.369999997</v>
      </c>
      <c r="N39" s="143">
        <f>21751674.37</f>
        <v>21751674.370000001</v>
      </c>
      <c r="O39" s="143">
        <f>18126395.37</f>
        <v>18126395.370000001</v>
      </c>
      <c r="P39" s="143">
        <f>14501116.37</f>
        <v>14501116.369999999</v>
      </c>
      <c r="Q39" s="143">
        <f>10875837.37</f>
        <v>10875837.369999999</v>
      </c>
      <c r="R39" s="143">
        <f>7250558.37</f>
        <v>7250558.3700000001</v>
      </c>
      <c r="S39" s="143">
        <f>3625279.37</f>
        <v>3625279.37</v>
      </c>
      <c r="T39" s="143">
        <f>0</f>
        <v>0</v>
      </c>
      <c r="U39" s="143">
        <f>0</f>
        <v>0</v>
      </c>
      <c r="V39" s="143">
        <f>0</f>
        <v>0</v>
      </c>
      <c r="W39" s="143">
        <f>0</f>
        <v>0</v>
      </c>
      <c r="X39" s="143">
        <f>0</f>
        <v>0</v>
      </c>
      <c r="Y39" s="143">
        <f>0</f>
        <v>0</v>
      </c>
      <c r="Z39" s="143">
        <f>0</f>
        <v>0</v>
      </c>
      <c r="AA39" s="143">
        <f>0</f>
        <v>0</v>
      </c>
      <c r="AB39" s="143">
        <f>0</f>
        <v>0</v>
      </c>
      <c r="AC39" s="143">
        <f>0</f>
        <v>0</v>
      </c>
      <c r="AD39" s="143">
        <f>0</f>
        <v>0</v>
      </c>
      <c r="AE39" s="143">
        <f>0</f>
        <v>0</v>
      </c>
      <c r="AF39" s="143">
        <f>0</f>
        <v>0</v>
      </c>
      <c r="AG39" s="143">
        <f>0</f>
        <v>0</v>
      </c>
      <c r="AH39" s="143">
        <f>0</f>
        <v>0</v>
      </c>
      <c r="AI39" s="143">
        <f>0</f>
        <v>0</v>
      </c>
      <c r="AJ39" s="143">
        <f>0</f>
        <v>0</v>
      </c>
      <c r="AK39" s="143">
        <f>0</f>
        <v>0</v>
      </c>
      <c r="AL39" s="143">
        <f>0</f>
        <v>0</v>
      </c>
      <c r="AM39" s="143">
        <f>0</f>
        <v>0</v>
      </c>
      <c r="AN39" s="143">
        <f>0</f>
        <v>0</v>
      </c>
      <c r="AO39" s="143">
        <f>0</f>
        <v>0</v>
      </c>
    </row>
    <row r="40" spans="1:41" s="36" customFormat="1" ht="24">
      <c r="A40" s="136" t="s">
        <v>137</v>
      </c>
      <c r="B40" s="139" t="s">
        <v>67</v>
      </c>
      <c r="C40" s="142">
        <f>0</f>
        <v>0</v>
      </c>
      <c r="D40" s="142">
        <f>0</f>
        <v>0</v>
      </c>
      <c r="E40" s="142">
        <f>0</f>
        <v>0</v>
      </c>
      <c r="F40" s="142">
        <f>0</f>
        <v>0</v>
      </c>
      <c r="G40" s="142">
        <f>0</f>
        <v>0</v>
      </c>
      <c r="H40" s="142">
        <f>0</f>
        <v>0</v>
      </c>
      <c r="I40" s="142">
        <f>0</f>
        <v>0</v>
      </c>
      <c r="J40" s="142">
        <f>0</f>
        <v>0</v>
      </c>
      <c r="K40" s="142">
        <f>0</f>
        <v>0</v>
      </c>
      <c r="L40" s="142">
        <f>0</f>
        <v>0</v>
      </c>
      <c r="M40" s="142">
        <f>0</f>
        <v>0</v>
      </c>
      <c r="N40" s="142">
        <f>0</f>
        <v>0</v>
      </c>
      <c r="O40" s="142">
        <f>0</f>
        <v>0</v>
      </c>
      <c r="P40" s="142">
        <f>0</f>
        <v>0</v>
      </c>
      <c r="Q40" s="142">
        <f>0</f>
        <v>0</v>
      </c>
      <c r="R40" s="142">
        <f>0</f>
        <v>0</v>
      </c>
      <c r="S40" s="142">
        <f>0</f>
        <v>0</v>
      </c>
      <c r="T40" s="142">
        <f>0</f>
        <v>0</v>
      </c>
      <c r="U40" s="142">
        <f>0</f>
        <v>0</v>
      </c>
      <c r="V40" s="142">
        <f>0</f>
        <v>0</v>
      </c>
      <c r="W40" s="142">
        <f>0</f>
        <v>0</v>
      </c>
      <c r="X40" s="142">
        <f>0</f>
        <v>0</v>
      </c>
      <c r="Y40" s="142">
        <f>0</f>
        <v>0</v>
      </c>
      <c r="Z40" s="142">
        <f>0</f>
        <v>0</v>
      </c>
      <c r="AA40" s="142">
        <f>0</f>
        <v>0</v>
      </c>
      <c r="AB40" s="142">
        <f>0</f>
        <v>0</v>
      </c>
      <c r="AC40" s="142">
        <f>0</f>
        <v>0</v>
      </c>
      <c r="AD40" s="142">
        <f>0</f>
        <v>0</v>
      </c>
      <c r="AE40" s="142">
        <f>0</f>
        <v>0</v>
      </c>
      <c r="AF40" s="142">
        <f>0</f>
        <v>0</v>
      </c>
      <c r="AG40" s="142">
        <f>0</f>
        <v>0</v>
      </c>
      <c r="AH40" s="142">
        <f>0</f>
        <v>0</v>
      </c>
      <c r="AI40" s="142">
        <f>0</f>
        <v>0</v>
      </c>
      <c r="AJ40" s="142">
        <f>0</f>
        <v>0</v>
      </c>
      <c r="AK40" s="142">
        <f>0</f>
        <v>0</v>
      </c>
      <c r="AL40" s="142">
        <f>0</f>
        <v>0</v>
      </c>
      <c r="AM40" s="142">
        <f>0</f>
        <v>0</v>
      </c>
      <c r="AN40" s="142">
        <f>0</f>
        <v>0</v>
      </c>
      <c r="AO40" s="142">
        <f>0</f>
        <v>0</v>
      </c>
    </row>
    <row r="41" spans="1:41" s="36" customFormat="1">
      <c r="A41" s="107">
        <v>14</v>
      </c>
      <c r="B41" s="56" t="s">
        <v>68</v>
      </c>
      <c r="C41" s="41">
        <f>49493281.5</f>
        <v>49493281.5</v>
      </c>
      <c r="D41" s="41">
        <f>77860173.47</f>
        <v>77860173.469999999</v>
      </c>
      <c r="E41" s="41">
        <f>83587290.46</f>
        <v>83587290.459999993</v>
      </c>
      <c r="F41" s="41">
        <f>0</f>
        <v>0</v>
      </c>
      <c r="G41" s="41">
        <f>0</f>
        <v>0</v>
      </c>
      <c r="H41" s="41">
        <f>0</f>
        <v>0</v>
      </c>
      <c r="I41" s="41">
        <f>0</f>
        <v>0</v>
      </c>
      <c r="J41" s="41">
        <f>0</f>
        <v>0</v>
      </c>
      <c r="K41" s="41">
        <f>0</f>
        <v>0</v>
      </c>
      <c r="L41" s="41">
        <f>0</f>
        <v>0</v>
      </c>
      <c r="M41" s="41">
        <f>0</f>
        <v>0</v>
      </c>
      <c r="N41" s="41">
        <f>0</f>
        <v>0</v>
      </c>
      <c r="O41" s="41">
        <f>0</f>
        <v>0</v>
      </c>
      <c r="P41" s="41">
        <f>0</f>
        <v>0</v>
      </c>
      <c r="Q41" s="41">
        <f>0</f>
        <v>0</v>
      </c>
      <c r="R41" s="41">
        <f>0</f>
        <v>0</v>
      </c>
      <c r="S41" s="41">
        <f>0</f>
        <v>0</v>
      </c>
      <c r="T41" s="41">
        <f>0</f>
        <v>0</v>
      </c>
      <c r="U41" s="41">
        <f>0</f>
        <v>0</v>
      </c>
      <c r="V41" s="41">
        <f>0</f>
        <v>0</v>
      </c>
      <c r="W41" s="41">
        <f>0</f>
        <v>0</v>
      </c>
      <c r="X41" s="41">
        <f>0</f>
        <v>0</v>
      </c>
      <c r="Y41" s="41">
        <f>0</f>
        <v>0</v>
      </c>
      <c r="Z41" s="41">
        <f>0</f>
        <v>0</v>
      </c>
      <c r="AA41" s="41">
        <f>0</f>
        <v>0</v>
      </c>
      <c r="AB41" s="41">
        <f>0</f>
        <v>0</v>
      </c>
      <c r="AC41" s="41">
        <f>0</f>
        <v>0</v>
      </c>
      <c r="AD41" s="41">
        <f>0</f>
        <v>0</v>
      </c>
      <c r="AE41" s="41">
        <f>0</f>
        <v>0</v>
      </c>
      <c r="AF41" s="41">
        <f>0</f>
        <v>0</v>
      </c>
      <c r="AG41" s="41">
        <f>0</f>
        <v>0</v>
      </c>
      <c r="AH41" s="41">
        <f>0</f>
        <v>0</v>
      </c>
      <c r="AI41" s="41">
        <f>0</f>
        <v>0</v>
      </c>
      <c r="AJ41" s="41">
        <f>0</f>
        <v>0</v>
      </c>
      <c r="AK41" s="41">
        <f>0</f>
        <v>0</v>
      </c>
      <c r="AL41" s="41">
        <f>0</f>
        <v>0</v>
      </c>
      <c r="AM41" s="41">
        <f>0</f>
        <v>0</v>
      </c>
      <c r="AN41" s="41">
        <f>0</f>
        <v>0</v>
      </c>
      <c r="AO41" s="41">
        <f>0</f>
        <v>0</v>
      </c>
    </row>
    <row r="42" spans="1:41" s="36" customFormat="1" ht="36">
      <c r="A42" s="111">
        <v>15</v>
      </c>
      <c r="B42" s="56" t="s">
        <v>139</v>
      </c>
      <c r="C42" s="41">
        <f>0</f>
        <v>0</v>
      </c>
      <c r="D42" s="41">
        <f>0</f>
        <v>0</v>
      </c>
      <c r="E42" s="41">
        <f>0</f>
        <v>0</v>
      </c>
      <c r="F42" s="41">
        <f>0</f>
        <v>0</v>
      </c>
      <c r="G42" s="41">
        <f>0</f>
        <v>0</v>
      </c>
      <c r="H42" s="41">
        <f>0</f>
        <v>0</v>
      </c>
      <c r="I42" s="41">
        <f>0</f>
        <v>0</v>
      </c>
      <c r="J42" s="41">
        <f>0</f>
        <v>0</v>
      </c>
      <c r="K42" s="41">
        <f>0</f>
        <v>0</v>
      </c>
      <c r="L42" s="41">
        <f>0</f>
        <v>0</v>
      </c>
      <c r="M42" s="41">
        <f>0</f>
        <v>0</v>
      </c>
      <c r="N42" s="41">
        <f>0</f>
        <v>0</v>
      </c>
      <c r="O42" s="41">
        <f>0</f>
        <v>0</v>
      </c>
      <c r="P42" s="41">
        <f>0</f>
        <v>0</v>
      </c>
      <c r="Q42" s="41">
        <f>0</f>
        <v>0</v>
      </c>
      <c r="R42" s="41">
        <f>0</f>
        <v>0</v>
      </c>
      <c r="S42" s="41">
        <f>0</f>
        <v>0</v>
      </c>
      <c r="T42" s="41">
        <f>0</f>
        <v>0</v>
      </c>
      <c r="U42" s="41">
        <f>0</f>
        <v>0</v>
      </c>
      <c r="V42" s="41">
        <f>0</f>
        <v>0</v>
      </c>
      <c r="W42" s="41">
        <f>0</f>
        <v>0</v>
      </c>
      <c r="X42" s="41">
        <f>0</f>
        <v>0</v>
      </c>
      <c r="Y42" s="41">
        <f>0</f>
        <v>0</v>
      </c>
      <c r="Z42" s="41">
        <f>0</f>
        <v>0</v>
      </c>
      <c r="AA42" s="41">
        <f>0</f>
        <v>0</v>
      </c>
      <c r="AB42" s="41">
        <f>0</f>
        <v>0</v>
      </c>
      <c r="AC42" s="41">
        <f>0</f>
        <v>0</v>
      </c>
      <c r="AD42" s="41">
        <f>0</f>
        <v>0</v>
      </c>
      <c r="AE42" s="41">
        <f>0</f>
        <v>0</v>
      </c>
      <c r="AF42" s="41">
        <f>0</f>
        <v>0</v>
      </c>
      <c r="AG42" s="41">
        <f>0</f>
        <v>0</v>
      </c>
      <c r="AH42" s="41">
        <f>0</f>
        <v>0</v>
      </c>
      <c r="AI42" s="41">
        <f>0</f>
        <v>0</v>
      </c>
      <c r="AJ42" s="41">
        <f>0</f>
        <v>0</v>
      </c>
      <c r="AK42" s="41">
        <f>0</f>
        <v>0</v>
      </c>
      <c r="AL42" s="41">
        <f>0</f>
        <v>0</v>
      </c>
      <c r="AM42" s="41">
        <f>0</f>
        <v>0</v>
      </c>
      <c r="AN42" s="41">
        <f>0</f>
        <v>0</v>
      </c>
      <c r="AO42" s="41">
        <f>0</f>
        <v>0</v>
      </c>
    </row>
    <row r="43" spans="1:41" s="36" customFormat="1" ht="24">
      <c r="A43" s="111">
        <v>16</v>
      </c>
      <c r="B43" s="56" t="s">
        <v>140</v>
      </c>
      <c r="C43" s="41">
        <f>0</f>
        <v>0</v>
      </c>
      <c r="D43" s="41">
        <f>0</f>
        <v>0</v>
      </c>
      <c r="E43" s="41">
        <f>0</f>
        <v>0</v>
      </c>
      <c r="F43" s="41">
        <f>20744409</f>
        <v>20744409</v>
      </c>
      <c r="G43" s="41">
        <f>17467560</f>
        <v>17467560</v>
      </c>
      <c r="H43" s="41">
        <f>15586023</f>
        <v>15586023</v>
      </c>
      <c r="I43" s="41">
        <f>17110112</f>
        <v>17110112</v>
      </c>
      <c r="J43" s="41">
        <f>19400000</f>
        <v>19400000</v>
      </c>
      <c r="K43" s="41">
        <f>20700000</f>
        <v>20700000</v>
      </c>
      <c r="L43" s="41">
        <f>22083017</f>
        <v>22083017</v>
      </c>
      <c r="M43" s="41">
        <f>22649236</f>
        <v>22649236</v>
      </c>
      <c r="N43" s="41">
        <f>14709433</f>
        <v>14709433</v>
      </c>
      <c r="O43" s="41">
        <f>3625279</f>
        <v>3625279</v>
      </c>
      <c r="P43" s="41">
        <f>3625279</f>
        <v>3625279</v>
      </c>
      <c r="Q43" s="41">
        <f>3625279</f>
        <v>3625279</v>
      </c>
      <c r="R43" s="41">
        <f>3625279</f>
        <v>3625279</v>
      </c>
      <c r="S43" s="41">
        <f>3625279</f>
        <v>3625279</v>
      </c>
      <c r="T43" s="41">
        <f>3625279.37</f>
        <v>3625279.37</v>
      </c>
      <c r="U43" s="41">
        <f>0</f>
        <v>0</v>
      </c>
      <c r="V43" s="41">
        <f>0</f>
        <v>0</v>
      </c>
      <c r="W43" s="41">
        <f>0</f>
        <v>0</v>
      </c>
      <c r="X43" s="41">
        <f>0</f>
        <v>0</v>
      </c>
      <c r="Y43" s="41">
        <f>0</f>
        <v>0</v>
      </c>
      <c r="Z43" s="41">
        <f>0</f>
        <v>0</v>
      </c>
      <c r="AA43" s="41">
        <f>0</f>
        <v>0</v>
      </c>
      <c r="AB43" s="41">
        <f>0</f>
        <v>0</v>
      </c>
      <c r="AC43" s="41">
        <f>0</f>
        <v>0</v>
      </c>
      <c r="AD43" s="41">
        <f>0</f>
        <v>0</v>
      </c>
      <c r="AE43" s="41">
        <f>0</f>
        <v>0</v>
      </c>
      <c r="AF43" s="41">
        <f>0</f>
        <v>0</v>
      </c>
      <c r="AG43" s="41">
        <f>0</f>
        <v>0</v>
      </c>
      <c r="AH43" s="41">
        <f>0</f>
        <v>0</v>
      </c>
      <c r="AI43" s="41">
        <f>0</f>
        <v>0</v>
      </c>
      <c r="AJ43" s="41">
        <f>0</f>
        <v>0</v>
      </c>
      <c r="AK43" s="41">
        <f>0</f>
        <v>0</v>
      </c>
      <c r="AL43" s="41">
        <f>0</f>
        <v>0</v>
      </c>
      <c r="AM43" s="41">
        <f>0</f>
        <v>0</v>
      </c>
      <c r="AN43" s="41">
        <f>0</f>
        <v>0</v>
      </c>
      <c r="AO43" s="41">
        <f>0</f>
        <v>0</v>
      </c>
    </row>
    <row r="44" spans="1:41" s="36" customFormat="1">
      <c r="A44" s="144">
        <v>17</v>
      </c>
      <c r="B44" s="145" t="s">
        <v>91</v>
      </c>
      <c r="C44" s="141">
        <f>0</f>
        <v>0</v>
      </c>
      <c r="D44" s="141">
        <f>0</f>
        <v>0</v>
      </c>
      <c r="E44" s="141">
        <f>0</f>
        <v>0</v>
      </c>
      <c r="F44" s="141">
        <f>0</f>
        <v>0</v>
      </c>
      <c r="G44" s="141">
        <f>0</f>
        <v>0</v>
      </c>
      <c r="H44" s="141">
        <f>0</f>
        <v>0</v>
      </c>
      <c r="I44" s="141">
        <f>0</f>
        <v>0</v>
      </c>
      <c r="J44" s="141">
        <f>0</f>
        <v>0</v>
      </c>
      <c r="K44" s="141">
        <f>0</f>
        <v>0</v>
      </c>
      <c r="L44" s="141">
        <f>0</f>
        <v>0</v>
      </c>
      <c r="M44" s="141">
        <f>0</f>
        <v>0</v>
      </c>
      <c r="N44" s="141">
        <f>0</f>
        <v>0</v>
      </c>
      <c r="O44" s="141">
        <f>0</f>
        <v>0</v>
      </c>
      <c r="P44" s="141">
        <f>0</f>
        <v>0</v>
      </c>
      <c r="Q44" s="141">
        <f>0</f>
        <v>0</v>
      </c>
      <c r="R44" s="141">
        <f>0</f>
        <v>0</v>
      </c>
      <c r="S44" s="141">
        <f>0</f>
        <v>0</v>
      </c>
      <c r="T44" s="141">
        <f>0</f>
        <v>0</v>
      </c>
      <c r="U44" s="141">
        <f>0</f>
        <v>0</v>
      </c>
      <c r="V44" s="141">
        <f>0</f>
        <v>0</v>
      </c>
      <c r="W44" s="141">
        <f>0</f>
        <v>0</v>
      </c>
      <c r="X44" s="141">
        <f>0</f>
        <v>0</v>
      </c>
      <c r="Y44" s="141">
        <f>0</f>
        <v>0</v>
      </c>
      <c r="Z44" s="141">
        <f>0</f>
        <v>0</v>
      </c>
      <c r="AA44" s="141">
        <f>0</f>
        <v>0</v>
      </c>
      <c r="AB44" s="141">
        <f>0</f>
        <v>0</v>
      </c>
      <c r="AC44" s="141">
        <f>0</f>
        <v>0</v>
      </c>
      <c r="AD44" s="141">
        <f>0</f>
        <v>0</v>
      </c>
      <c r="AE44" s="141">
        <f>0</f>
        <v>0</v>
      </c>
      <c r="AF44" s="141">
        <f>0</f>
        <v>0</v>
      </c>
      <c r="AG44" s="141">
        <f>0</f>
        <v>0</v>
      </c>
      <c r="AH44" s="141">
        <f>0</f>
        <v>0</v>
      </c>
      <c r="AI44" s="141">
        <f>0</f>
        <v>0</v>
      </c>
      <c r="AJ44" s="141">
        <f>0</f>
        <v>0</v>
      </c>
      <c r="AK44" s="141">
        <f>0</f>
        <v>0</v>
      </c>
      <c r="AL44" s="141">
        <f>0</f>
        <v>0</v>
      </c>
      <c r="AM44" s="141">
        <f>0</f>
        <v>0</v>
      </c>
      <c r="AN44" s="141">
        <f>0</f>
        <v>0</v>
      </c>
      <c r="AO44" s="141">
        <f>0</f>
        <v>0</v>
      </c>
    </row>
    <row r="45" spans="1:41" s="36" customFormat="1" ht="24">
      <c r="A45" s="146" t="s">
        <v>141</v>
      </c>
      <c r="B45" s="147" t="s">
        <v>92</v>
      </c>
      <c r="C45" s="142">
        <f>0</f>
        <v>0</v>
      </c>
      <c r="D45" s="142">
        <f>0</f>
        <v>0</v>
      </c>
      <c r="E45" s="142">
        <f>0</f>
        <v>0</v>
      </c>
      <c r="F45" s="142">
        <f>0</f>
        <v>0</v>
      </c>
      <c r="G45" s="142">
        <f>0</f>
        <v>0</v>
      </c>
      <c r="H45" s="142">
        <f>0</f>
        <v>0</v>
      </c>
      <c r="I45" s="142">
        <f>0</f>
        <v>0</v>
      </c>
      <c r="J45" s="142">
        <f>0</f>
        <v>0</v>
      </c>
      <c r="K45" s="142">
        <f>0</f>
        <v>0</v>
      </c>
      <c r="L45" s="142">
        <f>0</f>
        <v>0</v>
      </c>
      <c r="M45" s="142">
        <f>0</f>
        <v>0</v>
      </c>
      <c r="N45" s="142">
        <f>0</f>
        <v>0</v>
      </c>
      <c r="O45" s="142">
        <f>0</f>
        <v>0</v>
      </c>
      <c r="P45" s="142">
        <f>0</f>
        <v>0</v>
      </c>
      <c r="Q45" s="142">
        <f>0</f>
        <v>0</v>
      </c>
      <c r="R45" s="142">
        <f>0</f>
        <v>0</v>
      </c>
      <c r="S45" s="142">
        <f>0</f>
        <v>0</v>
      </c>
      <c r="T45" s="142">
        <f>0</f>
        <v>0</v>
      </c>
      <c r="U45" s="142">
        <f>0</f>
        <v>0</v>
      </c>
      <c r="V45" s="142">
        <f>0</f>
        <v>0</v>
      </c>
      <c r="W45" s="142">
        <f>0</f>
        <v>0</v>
      </c>
      <c r="X45" s="142">
        <f>0</f>
        <v>0</v>
      </c>
      <c r="Y45" s="142">
        <f>0</f>
        <v>0</v>
      </c>
      <c r="Z45" s="142">
        <f>0</f>
        <v>0</v>
      </c>
      <c r="AA45" s="142">
        <f>0</f>
        <v>0</v>
      </c>
      <c r="AB45" s="142">
        <f>0</f>
        <v>0</v>
      </c>
      <c r="AC45" s="142">
        <f>0</f>
        <v>0</v>
      </c>
      <c r="AD45" s="142">
        <f>0</f>
        <v>0</v>
      </c>
      <c r="AE45" s="142">
        <f>0</f>
        <v>0</v>
      </c>
      <c r="AF45" s="142">
        <f>0</f>
        <v>0</v>
      </c>
      <c r="AG45" s="142">
        <f>0</f>
        <v>0</v>
      </c>
      <c r="AH45" s="142">
        <f>0</f>
        <v>0</v>
      </c>
      <c r="AI45" s="142">
        <f>0</f>
        <v>0</v>
      </c>
      <c r="AJ45" s="142">
        <f>0</f>
        <v>0</v>
      </c>
      <c r="AK45" s="142">
        <f>0</f>
        <v>0</v>
      </c>
      <c r="AL45" s="142">
        <f>0</f>
        <v>0</v>
      </c>
      <c r="AM45" s="142">
        <f>0</f>
        <v>0</v>
      </c>
      <c r="AN45" s="142">
        <f>0</f>
        <v>0</v>
      </c>
      <c r="AO45" s="142">
        <f>0</f>
        <v>0</v>
      </c>
    </row>
    <row r="46" spans="1:41" s="36" customFormat="1">
      <c r="A46" s="148">
        <v>18</v>
      </c>
      <c r="B46" s="149" t="s">
        <v>69</v>
      </c>
      <c r="C46" s="150">
        <f>0.3864</f>
        <v>0.38640000000000002</v>
      </c>
      <c r="D46" s="150">
        <f>0.4693</f>
        <v>0.46929999999999999</v>
      </c>
      <c r="E46" s="150">
        <f>0.5922</f>
        <v>0.59219999999999995</v>
      </c>
      <c r="F46" s="150">
        <f>0.5042</f>
        <v>0.50419999999999998</v>
      </c>
      <c r="G46" s="150">
        <f>0.4504</f>
        <v>0.45040000000000002</v>
      </c>
      <c r="H46" s="150">
        <f>0.3948</f>
        <v>0.39479999999999998</v>
      </c>
      <c r="I46" s="150">
        <f>0.3362</f>
        <v>0.3362</v>
      </c>
      <c r="J46" s="150">
        <f>0.2767</f>
        <v>0.2767</v>
      </c>
      <c r="K46" s="150">
        <f>0.2147</f>
        <v>0.2147</v>
      </c>
      <c r="L46" s="150">
        <f>0.1526</f>
        <v>0.15260000000000001</v>
      </c>
      <c r="M46" s="150">
        <f>0.0917</f>
        <v>9.1700000000000004E-2</v>
      </c>
      <c r="N46" s="150">
        <f>0.053</f>
        <v>5.2999999999999999E-2</v>
      </c>
      <c r="O46" s="150">
        <f>0.0432</f>
        <v>4.3200000000000002E-2</v>
      </c>
      <c r="P46" s="150">
        <f>0.0336</f>
        <v>3.3599999999999998E-2</v>
      </c>
      <c r="Q46" s="150">
        <f>0.0244</f>
        <v>2.4400000000000002E-2</v>
      </c>
      <c r="R46" s="150">
        <f>0.0158</f>
        <v>1.5800000000000002E-2</v>
      </c>
      <c r="S46" s="150">
        <f>0.0077</f>
        <v>7.7000000000000002E-3</v>
      </c>
      <c r="T46" s="150">
        <f>0</f>
        <v>0</v>
      </c>
      <c r="U46" s="150">
        <f>0</f>
        <v>0</v>
      </c>
      <c r="V46" s="150">
        <f>0</f>
        <v>0</v>
      </c>
      <c r="W46" s="150">
        <f>0</f>
        <v>0</v>
      </c>
      <c r="X46" s="150">
        <f>0</f>
        <v>0</v>
      </c>
      <c r="Y46" s="150">
        <f>0</f>
        <v>0</v>
      </c>
      <c r="Z46" s="150">
        <f>0</f>
        <v>0</v>
      </c>
      <c r="AA46" s="150">
        <f>0</f>
        <v>0</v>
      </c>
      <c r="AB46" s="150">
        <f>0</f>
        <v>0</v>
      </c>
      <c r="AC46" s="150">
        <f>0</f>
        <v>0</v>
      </c>
      <c r="AD46" s="150">
        <f>0</f>
        <v>0</v>
      </c>
      <c r="AE46" s="150">
        <f>0</f>
        <v>0</v>
      </c>
      <c r="AF46" s="150">
        <f>0</f>
        <v>0</v>
      </c>
      <c r="AG46" s="150">
        <f>0</f>
        <v>0</v>
      </c>
      <c r="AH46" s="150">
        <f>0</f>
        <v>0</v>
      </c>
      <c r="AI46" s="150">
        <f>0</f>
        <v>0</v>
      </c>
      <c r="AJ46" s="150">
        <f>0</f>
        <v>0</v>
      </c>
      <c r="AK46" s="150">
        <f>0</f>
        <v>0</v>
      </c>
      <c r="AL46" s="150">
        <f>0</f>
        <v>0</v>
      </c>
      <c r="AM46" s="150">
        <f>0</f>
        <v>0</v>
      </c>
      <c r="AN46" s="150">
        <f>0</f>
        <v>0</v>
      </c>
      <c r="AO46" s="150">
        <f>0</f>
        <v>0</v>
      </c>
    </row>
    <row r="47" spans="1:41" s="36" customFormat="1" ht="24">
      <c r="A47" s="121" t="s">
        <v>143</v>
      </c>
      <c r="B47" s="122" t="s">
        <v>71</v>
      </c>
      <c r="C47" s="123">
        <f>0.2641</f>
        <v>0.2641</v>
      </c>
      <c r="D47" s="123">
        <f>0.2725</f>
        <v>0.27250000000000002</v>
      </c>
      <c r="E47" s="123">
        <f>0.3347</f>
        <v>0.3347</v>
      </c>
      <c r="F47" s="123">
        <f>0.5042</f>
        <v>0.50419999999999998</v>
      </c>
      <c r="G47" s="123">
        <f>0.4504</f>
        <v>0.45040000000000002</v>
      </c>
      <c r="H47" s="123">
        <f>0.3948</f>
        <v>0.39479999999999998</v>
      </c>
      <c r="I47" s="123">
        <f>0.3362</f>
        <v>0.3362</v>
      </c>
      <c r="J47" s="123">
        <f>0.2767</f>
        <v>0.2767</v>
      </c>
      <c r="K47" s="123">
        <f>0.2147</f>
        <v>0.2147</v>
      </c>
      <c r="L47" s="123">
        <f>0.1526</f>
        <v>0.15260000000000001</v>
      </c>
      <c r="M47" s="123">
        <f>0.0917</f>
        <v>9.1700000000000004E-2</v>
      </c>
      <c r="N47" s="123">
        <f>0.053</f>
        <v>5.2999999999999999E-2</v>
      </c>
      <c r="O47" s="123">
        <f>0.0432</f>
        <v>4.3200000000000002E-2</v>
      </c>
      <c r="P47" s="123">
        <f>0.0336</f>
        <v>3.3599999999999998E-2</v>
      </c>
      <c r="Q47" s="123">
        <f>0.0244</f>
        <v>2.4400000000000002E-2</v>
      </c>
      <c r="R47" s="123">
        <f>0.0158</f>
        <v>1.5800000000000002E-2</v>
      </c>
      <c r="S47" s="123">
        <f>0.0077</f>
        <v>7.7000000000000002E-3</v>
      </c>
      <c r="T47" s="123">
        <f>0</f>
        <v>0</v>
      </c>
      <c r="U47" s="123">
        <f>0</f>
        <v>0</v>
      </c>
      <c r="V47" s="123">
        <f>0</f>
        <v>0</v>
      </c>
      <c r="W47" s="123">
        <f>0</f>
        <v>0</v>
      </c>
      <c r="X47" s="123">
        <f>0</f>
        <v>0</v>
      </c>
      <c r="Y47" s="123">
        <f>0</f>
        <v>0</v>
      </c>
      <c r="Z47" s="123">
        <f>0</f>
        <v>0</v>
      </c>
      <c r="AA47" s="123">
        <f>0</f>
        <v>0</v>
      </c>
      <c r="AB47" s="123">
        <f>0</f>
        <v>0</v>
      </c>
      <c r="AC47" s="123">
        <f>0</f>
        <v>0</v>
      </c>
      <c r="AD47" s="123">
        <f>0</f>
        <v>0</v>
      </c>
      <c r="AE47" s="123">
        <f>0</f>
        <v>0</v>
      </c>
      <c r="AF47" s="123">
        <f>0</f>
        <v>0</v>
      </c>
      <c r="AG47" s="123">
        <f>0</f>
        <v>0</v>
      </c>
      <c r="AH47" s="123">
        <f>0</f>
        <v>0</v>
      </c>
      <c r="AI47" s="123">
        <f>0</f>
        <v>0</v>
      </c>
      <c r="AJ47" s="123">
        <f>0</f>
        <v>0</v>
      </c>
      <c r="AK47" s="123">
        <f>0</f>
        <v>0</v>
      </c>
      <c r="AL47" s="123">
        <f>0</f>
        <v>0</v>
      </c>
      <c r="AM47" s="123">
        <f>0</f>
        <v>0</v>
      </c>
      <c r="AN47" s="123">
        <f>0</f>
        <v>0</v>
      </c>
      <c r="AO47" s="123">
        <f>0</f>
        <v>0</v>
      </c>
    </row>
    <row r="48" spans="1:41" s="36" customFormat="1" ht="24">
      <c r="A48" s="121">
        <v>19</v>
      </c>
      <c r="B48" s="124" t="s">
        <v>72</v>
      </c>
      <c r="C48" s="123">
        <f>0.0548</f>
        <v>5.4800000000000001E-2</v>
      </c>
      <c r="D48" s="123">
        <f>0.0633</f>
        <v>6.3299999999999995E-2</v>
      </c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</row>
    <row r="49" spans="1:41" s="36" customFormat="1" ht="24">
      <c r="A49" s="146" t="s">
        <v>144</v>
      </c>
      <c r="B49" s="151" t="s">
        <v>74</v>
      </c>
      <c r="C49" s="152">
        <f>0.0543</f>
        <v>5.4300000000000001E-2</v>
      </c>
      <c r="D49" s="152">
        <f>0.0609</f>
        <v>6.0900000000000003E-2</v>
      </c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</row>
    <row r="50" spans="1:41" s="36" customFormat="1">
      <c r="A50" s="148">
        <v>20</v>
      </c>
      <c r="B50" s="149" t="s">
        <v>145</v>
      </c>
      <c r="C50" s="150">
        <f>0.0935</f>
        <v>9.35E-2</v>
      </c>
      <c r="D50" s="150">
        <f>0.0912</f>
        <v>9.1200000000000003E-2</v>
      </c>
      <c r="E50" s="150">
        <f>0.0718</f>
        <v>7.1800000000000003E-2</v>
      </c>
      <c r="F50" s="150">
        <f>0.0663</f>
        <v>6.6299999999999998E-2</v>
      </c>
      <c r="G50" s="150">
        <f>0.0709</f>
        <v>7.0900000000000005E-2</v>
      </c>
      <c r="H50" s="150">
        <f>0.0633</f>
        <v>6.3299999999999995E-2</v>
      </c>
      <c r="I50" s="150">
        <f>0.071</f>
        <v>7.0999999999999994E-2</v>
      </c>
      <c r="J50" s="150">
        <f>0.0652</f>
        <v>6.5199999999999994E-2</v>
      </c>
      <c r="K50" s="150">
        <f>0.065</f>
        <v>6.5000000000000002E-2</v>
      </c>
      <c r="L50" s="150">
        <f>0.0625</f>
        <v>6.25E-2</v>
      </c>
      <c r="M50" s="150">
        <f>0.0629</f>
        <v>6.2899999999999998E-2</v>
      </c>
      <c r="N50" s="150">
        <f>0.0666</f>
        <v>6.6600000000000006E-2</v>
      </c>
      <c r="O50" s="150">
        <f t="shared" ref="O50:T50" si="2">0.0614</f>
        <v>6.1400000000000003E-2</v>
      </c>
      <c r="P50" s="150">
        <f t="shared" si="2"/>
        <v>6.1400000000000003E-2</v>
      </c>
      <c r="Q50" s="150">
        <f t="shared" si="2"/>
        <v>6.1400000000000003E-2</v>
      </c>
      <c r="R50" s="150">
        <f t="shared" si="2"/>
        <v>6.1400000000000003E-2</v>
      </c>
      <c r="S50" s="150">
        <f t="shared" si="2"/>
        <v>6.1400000000000003E-2</v>
      </c>
      <c r="T50" s="150">
        <f t="shared" si="2"/>
        <v>6.1400000000000003E-2</v>
      </c>
      <c r="U50" s="150">
        <f>0.0615</f>
        <v>6.1499999999999999E-2</v>
      </c>
      <c r="V50" s="150">
        <f>0</f>
        <v>0</v>
      </c>
      <c r="W50" s="150">
        <f>0</f>
        <v>0</v>
      </c>
      <c r="X50" s="150">
        <f>0</f>
        <v>0</v>
      </c>
      <c r="Y50" s="150">
        <f>0</f>
        <v>0</v>
      </c>
      <c r="Z50" s="150">
        <f>0</f>
        <v>0</v>
      </c>
      <c r="AA50" s="150">
        <f>0</f>
        <v>0</v>
      </c>
      <c r="AB50" s="150">
        <f>0</f>
        <v>0</v>
      </c>
      <c r="AC50" s="150">
        <f>0</f>
        <v>0</v>
      </c>
      <c r="AD50" s="150">
        <f>0</f>
        <v>0</v>
      </c>
      <c r="AE50" s="150">
        <f>0</f>
        <v>0</v>
      </c>
      <c r="AF50" s="150">
        <f>0</f>
        <v>0</v>
      </c>
      <c r="AG50" s="150">
        <f>0</f>
        <v>0</v>
      </c>
      <c r="AH50" s="150">
        <f>0</f>
        <v>0</v>
      </c>
      <c r="AI50" s="150">
        <f>0</f>
        <v>0</v>
      </c>
      <c r="AJ50" s="150">
        <f>0</f>
        <v>0</v>
      </c>
      <c r="AK50" s="150">
        <f>0</f>
        <v>0</v>
      </c>
      <c r="AL50" s="150">
        <f>0</f>
        <v>0</v>
      </c>
      <c r="AM50" s="150">
        <f>0</f>
        <v>0</v>
      </c>
      <c r="AN50" s="150">
        <f>0</f>
        <v>0</v>
      </c>
      <c r="AO50" s="150">
        <f>0</f>
        <v>0</v>
      </c>
    </row>
    <row r="51" spans="1:41" s="36" customFormat="1">
      <c r="A51" s="121" t="s">
        <v>146</v>
      </c>
      <c r="B51" s="122" t="s">
        <v>53</v>
      </c>
      <c r="C51" s="123">
        <f>0.068</f>
        <v>6.8000000000000005E-2</v>
      </c>
      <c r="D51" s="123">
        <f>0.0676</f>
        <v>6.7599999999999993E-2</v>
      </c>
      <c r="E51" s="123">
        <f>0.0772</f>
        <v>7.7200000000000005E-2</v>
      </c>
      <c r="F51" s="123">
        <f>0.0855</f>
        <v>8.5500000000000007E-2</v>
      </c>
      <c r="G51" s="123">
        <f>0.0764</f>
        <v>7.6399999999999996E-2</v>
      </c>
      <c r="H51" s="123">
        <f>0.0697</f>
        <v>6.9699999999999998E-2</v>
      </c>
      <c r="I51" s="123">
        <f>0.0668</f>
        <v>6.6799999999999998E-2</v>
      </c>
      <c r="J51" s="123">
        <f>0.0684</f>
        <v>6.8400000000000002E-2</v>
      </c>
      <c r="K51" s="123">
        <f>0.0665</f>
        <v>6.6500000000000004E-2</v>
      </c>
      <c r="L51" s="123">
        <f>0.0671</f>
        <v>6.7100000000000007E-2</v>
      </c>
      <c r="M51" s="123">
        <f>0.0642</f>
        <v>6.4199999999999993E-2</v>
      </c>
      <c r="N51" s="123">
        <f>0.0635</f>
        <v>6.3500000000000001E-2</v>
      </c>
      <c r="O51" s="123">
        <f>0.064</f>
        <v>6.4000000000000001E-2</v>
      </c>
      <c r="P51" s="123">
        <f>0.0636</f>
        <v>6.3600000000000004E-2</v>
      </c>
      <c r="Q51" s="123">
        <f>0.0631</f>
        <v>6.3100000000000003E-2</v>
      </c>
      <c r="R51" s="123">
        <f>0.0614</f>
        <v>6.1400000000000003E-2</v>
      </c>
      <c r="S51" s="123">
        <f>0.0614</f>
        <v>6.1400000000000003E-2</v>
      </c>
      <c r="T51" s="123">
        <f>0.0614</f>
        <v>6.1400000000000003E-2</v>
      </c>
      <c r="U51" s="123">
        <f>0.0614</f>
        <v>6.1400000000000003E-2</v>
      </c>
      <c r="V51" s="123">
        <f>0</f>
        <v>0</v>
      </c>
      <c r="W51" s="123">
        <f>0</f>
        <v>0</v>
      </c>
      <c r="X51" s="123">
        <f>0</f>
        <v>0</v>
      </c>
      <c r="Y51" s="123">
        <f>0</f>
        <v>0</v>
      </c>
      <c r="Z51" s="123">
        <f>0</f>
        <v>0</v>
      </c>
      <c r="AA51" s="123">
        <f>0</f>
        <v>0</v>
      </c>
      <c r="AB51" s="123">
        <f>0</f>
        <v>0</v>
      </c>
      <c r="AC51" s="123">
        <f>0</f>
        <v>0</v>
      </c>
      <c r="AD51" s="123">
        <f>0</f>
        <v>0</v>
      </c>
      <c r="AE51" s="123">
        <f>0</f>
        <v>0</v>
      </c>
      <c r="AF51" s="123">
        <f>0</f>
        <v>0</v>
      </c>
      <c r="AG51" s="123">
        <f>0</f>
        <v>0</v>
      </c>
      <c r="AH51" s="123">
        <f>0</f>
        <v>0</v>
      </c>
      <c r="AI51" s="123">
        <f>0</f>
        <v>0</v>
      </c>
      <c r="AJ51" s="123">
        <f>0</f>
        <v>0</v>
      </c>
      <c r="AK51" s="123">
        <f>0</f>
        <v>0</v>
      </c>
      <c r="AL51" s="123">
        <f>0</f>
        <v>0</v>
      </c>
      <c r="AM51" s="123">
        <f>0</f>
        <v>0</v>
      </c>
      <c r="AN51" s="123">
        <f>0</f>
        <v>0</v>
      </c>
      <c r="AO51" s="123">
        <f>0</f>
        <v>0</v>
      </c>
    </row>
    <row r="52" spans="1:41" s="36" customFormat="1" ht="24">
      <c r="A52" s="121">
        <v>21</v>
      </c>
      <c r="B52" s="122" t="s">
        <v>54</v>
      </c>
      <c r="C52" s="123">
        <f>0.0548</f>
        <v>5.4800000000000001E-2</v>
      </c>
      <c r="D52" s="123">
        <f>0.0633</f>
        <v>6.3299999999999995E-2</v>
      </c>
      <c r="E52" s="123">
        <f>0.0771</f>
        <v>7.7100000000000002E-2</v>
      </c>
      <c r="F52" s="123">
        <f>0.0845</f>
        <v>8.4500000000000006E-2</v>
      </c>
      <c r="G52" s="123">
        <f>0.0718</f>
        <v>7.1800000000000003E-2</v>
      </c>
      <c r="H52" s="123">
        <f>0.0685</f>
        <v>6.8500000000000005E-2</v>
      </c>
      <c r="I52" s="123">
        <f>0.063</f>
        <v>6.3E-2</v>
      </c>
      <c r="J52" s="123">
        <f>0.0658</f>
        <v>6.5799999999999997E-2</v>
      </c>
      <c r="K52" s="123">
        <f>0.0651</f>
        <v>6.5100000000000005E-2</v>
      </c>
      <c r="L52" s="123">
        <f>0.0647</f>
        <v>6.4699999999999994E-2</v>
      </c>
      <c r="M52" s="123">
        <f>0.0617</f>
        <v>6.1699999999999998E-2</v>
      </c>
      <c r="N52" s="123">
        <f>0.0378</f>
        <v>3.78E-2</v>
      </c>
      <c r="O52" s="123">
        <f>0.0089</f>
        <v>8.8999999999999999E-3</v>
      </c>
      <c r="P52" s="123">
        <f>0.0086</f>
        <v>8.6E-3</v>
      </c>
      <c r="Q52" s="123">
        <f>0.0083</f>
        <v>8.3000000000000001E-3</v>
      </c>
      <c r="R52" s="123">
        <f>0.008</f>
        <v>8.0000000000000002E-3</v>
      </c>
      <c r="S52" s="123">
        <f>0.0078</f>
        <v>7.7999999999999996E-3</v>
      </c>
      <c r="T52" s="123">
        <f>0.0075</f>
        <v>7.4999999999999997E-3</v>
      </c>
      <c r="U52" s="123">
        <f>0</f>
        <v>0</v>
      </c>
      <c r="V52" s="123">
        <f>0</f>
        <v>0</v>
      </c>
      <c r="W52" s="123">
        <f>0</f>
        <v>0</v>
      </c>
      <c r="X52" s="123">
        <f>0</f>
        <v>0</v>
      </c>
      <c r="Y52" s="123">
        <f>0</f>
        <v>0</v>
      </c>
      <c r="Z52" s="123">
        <f>0</f>
        <v>0</v>
      </c>
      <c r="AA52" s="123">
        <f>0</f>
        <v>0</v>
      </c>
      <c r="AB52" s="123">
        <f>0</f>
        <v>0</v>
      </c>
      <c r="AC52" s="123">
        <f>0</f>
        <v>0</v>
      </c>
      <c r="AD52" s="123">
        <f>0</f>
        <v>0</v>
      </c>
      <c r="AE52" s="123">
        <f>0</f>
        <v>0</v>
      </c>
      <c r="AF52" s="123">
        <f>0</f>
        <v>0</v>
      </c>
      <c r="AG52" s="123">
        <f>0</f>
        <v>0</v>
      </c>
      <c r="AH52" s="123">
        <f>0</f>
        <v>0</v>
      </c>
      <c r="AI52" s="123">
        <f>0</f>
        <v>0</v>
      </c>
      <c r="AJ52" s="123">
        <f>0</f>
        <v>0</v>
      </c>
      <c r="AK52" s="123">
        <f>0</f>
        <v>0</v>
      </c>
      <c r="AL52" s="123">
        <f>0</f>
        <v>0</v>
      </c>
      <c r="AM52" s="123">
        <f>0</f>
        <v>0</v>
      </c>
      <c r="AN52" s="123">
        <f>0</f>
        <v>0</v>
      </c>
      <c r="AO52" s="123">
        <f>0</f>
        <v>0</v>
      </c>
    </row>
    <row r="53" spans="1:41" s="36" customFormat="1" ht="24">
      <c r="A53" s="120" t="s">
        <v>147</v>
      </c>
      <c r="B53" s="83" t="s">
        <v>76</v>
      </c>
      <c r="C53" s="125" t="str">
        <f>IF(C52&lt;=C$51,"Spełnia  art. 243","Nie spełnia art. 243")</f>
        <v>Spełnia  art. 243</v>
      </c>
      <c r="D53" s="125" t="str">
        <f t="shared" ref="D53:AD53" si="3">IF(D52&lt;=D$51,"Spełnia  art. 243","Nie spełnia art. 243")</f>
        <v>Spełnia  art. 243</v>
      </c>
      <c r="E53" s="125" t="str">
        <f t="shared" si="3"/>
        <v>Spełnia  art. 243</v>
      </c>
      <c r="F53" s="125" t="str">
        <f t="shared" si="3"/>
        <v>Spełnia  art. 243</v>
      </c>
      <c r="G53" s="125" t="str">
        <f t="shared" si="3"/>
        <v>Spełnia  art. 243</v>
      </c>
      <c r="H53" s="125" t="str">
        <f t="shared" si="3"/>
        <v>Spełnia  art. 243</v>
      </c>
      <c r="I53" s="125" t="str">
        <f t="shared" si="3"/>
        <v>Spełnia  art. 243</v>
      </c>
      <c r="J53" s="125" t="str">
        <f t="shared" si="3"/>
        <v>Spełnia  art. 243</v>
      </c>
      <c r="K53" s="125" t="str">
        <f t="shared" si="3"/>
        <v>Spełnia  art. 243</v>
      </c>
      <c r="L53" s="125" t="str">
        <f t="shared" si="3"/>
        <v>Spełnia  art. 243</v>
      </c>
      <c r="M53" s="125" t="str">
        <f t="shared" si="3"/>
        <v>Spełnia  art. 243</v>
      </c>
      <c r="N53" s="125" t="str">
        <f t="shared" si="3"/>
        <v>Spełnia  art. 243</v>
      </c>
      <c r="O53" s="125" t="str">
        <f t="shared" si="3"/>
        <v>Spełnia  art. 243</v>
      </c>
      <c r="P53" s="125" t="str">
        <f t="shared" si="3"/>
        <v>Spełnia  art. 243</v>
      </c>
      <c r="Q53" s="125" t="str">
        <f t="shared" si="3"/>
        <v>Spełnia  art. 243</v>
      </c>
      <c r="R53" s="125" t="str">
        <f t="shared" si="3"/>
        <v>Spełnia  art. 243</v>
      </c>
      <c r="S53" s="125" t="str">
        <f t="shared" si="3"/>
        <v>Spełnia  art. 243</v>
      </c>
      <c r="T53" s="125" t="str">
        <f t="shared" si="3"/>
        <v>Spełnia  art. 243</v>
      </c>
      <c r="U53" s="125" t="str">
        <f t="shared" si="3"/>
        <v>Spełnia  art. 243</v>
      </c>
      <c r="V53" s="125" t="str">
        <f t="shared" si="3"/>
        <v>Spełnia  art. 243</v>
      </c>
      <c r="W53" s="125" t="str">
        <f t="shared" si="3"/>
        <v>Spełnia  art. 243</v>
      </c>
      <c r="X53" s="125" t="str">
        <f t="shared" si="3"/>
        <v>Spełnia  art. 243</v>
      </c>
      <c r="Y53" s="125" t="str">
        <f t="shared" si="3"/>
        <v>Spełnia  art. 243</v>
      </c>
      <c r="Z53" s="125" t="str">
        <f t="shared" si="3"/>
        <v>Spełnia  art. 243</v>
      </c>
      <c r="AA53" s="125" t="str">
        <f t="shared" si="3"/>
        <v>Spełnia  art. 243</v>
      </c>
      <c r="AB53" s="125" t="str">
        <f t="shared" si="3"/>
        <v>Spełnia  art. 243</v>
      </c>
      <c r="AC53" s="125" t="str">
        <f t="shared" si="3"/>
        <v>Spełnia  art. 243</v>
      </c>
      <c r="AD53" s="125" t="str">
        <f t="shared" si="3"/>
        <v>Spełnia  art. 243</v>
      </c>
      <c r="AE53" s="125" t="str">
        <f t="shared" ref="AE53:AO53" si="4">IF(AE52&lt;=AE$51,"Spełnia  art. 243","Nie spełnia art. 243")</f>
        <v>Spełnia  art. 243</v>
      </c>
      <c r="AF53" s="125" t="str">
        <f t="shared" si="4"/>
        <v>Spełnia  art. 243</v>
      </c>
      <c r="AG53" s="125" t="str">
        <f t="shared" si="4"/>
        <v>Spełnia  art. 243</v>
      </c>
      <c r="AH53" s="125" t="str">
        <f t="shared" si="4"/>
        <v>Spełnia  art. 243</v>
      </c>
      <c r="AI53" s="125" t="str">
        <f t="shared" si="4"/>
        <v>Spełnia  art. 243</v>
      </c>
      <c r="AJ53" s="125" t="str">
        <f t="shared" si="4"/>
        <v>Spełnia  art. 243</v>
      </c>
      <c r="AK53" s="125" t="str">
        <f t="shared" si="4"/>
        <v>Spełnia  art. 243</v>
      </c>
      <c r="AL53" s="125" t="str">
        <f t="shared" si="4"/>
        <v>Spełnia  art. 243</v>
      </c>
      <c r="AM53" s="125" t="str">
        <f t="shared" si="4"/>
        <v>Spełnia  art. 243</v>
      </c>
      <c r="AN53" s="125" t="str">
        <f t="shared" si="4"/>
        <v>Spełnia  art. 243</v>
      </c>
      <c r="AO53" s="125" t="str">
        <f t="shared" si="4"/>
        <v>Spełnia  art. 243</v>
      </c>
    </row>
    <row r="54" spans="1:41" ht="25.5">
      <c r="A54" s="126">
        <v>22</v>
      </c>
      <c r="B54" s="127" t="s">
        <v>77</v>
      </c>
      <c r="C54" s="123">
        <f>0.0543</f>
        <v>5.4300000000000001E-2</v>
      </c>
      <c r="D54" s="123">
        <f>0.0609</f>
        <v>6.0900000000000003E-2</v>
      </c>
      <c r="E54" s="123">
        <f>0.0745</f>
        <v>7.4499999999999997E-2</v>
      </c>
      <c r="F54" s="123">
        <f>0.0845</f>
        <v>8.4500000000000006E-2</v>
      </c>
      <c r="G54" s="123">
        <f>0.0718</f>
        <v>7.1800000000000003E-2</v>
      </c>
      <c r="H54" s="123">
        <f>0.0685</f>
        <v>6.8500000000000005E-2</v>
      </c>
      <c r="I54" s="123">
        <f>0.063</f>
        <v>6.3E-2</v>
      </c>
      <c r="J54" s="123">
        <f>0.0658</f>
        <v>6.5799999999999997E-2</v>
      </c>
      <c r="K54" s="123">
        <f>0.0651</f>
        <v>6.5100000000000005E-2</v>
      </c>
      <c r="L54" s="123">
        <f>0.0647</f>
        <v>6.4699999999999994E-2</v>
      </c>
      <c r="M54" s="123">
        <f>0.0617</f>
        <v>6.1699999999999998E-2</v>
      </c>
      <c r="N54" s="123">
        <f>0.0378</f>
        <v>3.78E-2</v>
      </c>
      <c r="O54" s="123">
        <f>0.0089</f>
        <v>8.8999999999999999E-3</v>
      </c>
      <c r="P54" s="123">
        <f>0.0086</f>
        <v>8.6E-3</v>
      </c>
      <c r="Q54" s="123">
        <f>0.0083</f>
        <v>8.3000000000000001E-3</v>
      </c>
      <c r="R54" s="123">
        <f>0.008</f>
        <v>8.0000000000000002E-3</v>
      </c>
      <c r="S54" s="123">
        <f>0.0078</f>
        <v>7.7999999999999996E-3</v>
      </c>
      <c r="T54" s="123">
        <f>0.0075</f>
        <v>7.4999999999999997E-3</v>
      </c>
      <c r="U54" s="123">
        <f>0</f>
        <v>0</v>
      </c>
      <c r="V54" s="123">
        <f>0</f>
        <v>0</v>
      </c>
      <c r="W54" s="123">
        <f>0</f>
        <v>0</v>
      </c>
      <c r="X54" s="123">
        <f>0</f>
        <v>0</v>
      </c>
      <c r="Y54" s="123">
        <f>0</f>
        <v>0</v>
      </c>
      <c r="Z54" s="123">
        <f>0</f>
        <v>0</v>
      </c>
      <c r="AA54" s="123">
        <f>0</f>
        <v>0</v>
      </c>
      <c r="AB54" s="123">
        <f>0</f>
        <v>0</v>
      </c>
      <c r="AC54" s="123">
        <f>0</f>
        <v>0</v>
      </c>
      <c r="AD54" s="123">
        <f>0</f>
        <v>0</v>
      </c>
      <c r="AE54" s="123">
        <f>0</f>
        <v>0</v>
      </c>
      <c r="AF54" s="123">
        <f>0</f>
        <v>0</v>
      </c>
      <c r="AG54" s="123">
        <f>0</f>
        <v>0</v>
      </c>
      <c r="AH54" s="123">
        <f>0</f>
        <v>0</v>
      </c>
      <c r="AI54" s="123">
        <f>0</f>
        <v>0</v>
      </c>
      <c r="AJ54" s="123">
        <f>0</f>
        <v>0</v>
      </c>
      <c r="AK54" s="123">
        <f>0</f>
        <v>0</v>
      </c>
      <c r="AL54" s="123">
        <f>0</f>
        <v>0</v>
      </c>
      <c r="AM54" s="123">
        <f>0</f>
        <v>0</v>
      </c>
      <c r="AN54" s="123">
        <f>0</f>
        <v>0</v>
      </c>
      <c r="AO54" s="123">
        <f>0</f>
        <v>0</v>
      </c>
    </row>
    <row r="55" spans="1:41" ht="25.5">
      <c r="A55" s="153" t="s">
        <v>148</v>
      </c>
      <c r="B55" s="154" t="s">
        <v>79</v>
      </c>
      <c r="C55" s="155" t="str">
        <f>IF(C54&lt;=C$51,"Spełnia  art. 243","Nie spełnia art. 243")</f>
        <v>Spełnia  art. 243</v>
      </c>
      <c r="D55" s="155" t="str">
        <f t="shared" ref="D55:AD55" si="5">IF(D54&lt;=D$51,"Spełnia  art. 243","Nie spełnia art. 243")</f>
        <v>Spełnia  art. 243</v>
      </c>
      <c r="E55" s="155" t="str">
        <f t="shared" si="5"/>
        <v>Spełnia  art. 243</v>
      </c>
      <c r="F55" s="155" t="str">
        <f t="shared" si="5"/>
        <v>Spełnia  art. 243</v>
      </c>
      <c r="G55" s="155" t="str">
        <f t="shared" si="5"/>
        <v>Spełnia  art. 243</v>
      </c>
      <c r="H55" s="155" t="str">
        <f t="shared" si="5"/>
        <v>Spełnia  art. 243</v>
      </c>
      <c r="I55" s="155" t="str">
        <f t="shared" si="5"/>
        <v>Spełnia  art. 243</v>
      </c>
      <c r="J55" s="155" t="str">
        <f t="shared" si="5"/>
        <v>Spełnia  art. 243</v>
      </c>
      <c r="K55" s="155" t="str">
        <f t="shared" si="5"/>
        <v>Spełnia  art. 243</v>
      </c>
      <c r="L55" s="155" t="str">
        <f t="shared" si="5"/>
        <v>Spełnia  art. 243</v>
      </c>
      <c r="M55" s="155" t="str">
        <f t="shared" si="5"/>
        <v>Spełnia  art. 243</v>
      </c>
      <c r="N55" s="155" t="str">
        <f t="shared" si="5"/>
        <v>Spełnia  art. 243</v>
      </c>
      <c r="O55" s="155" t="str">
        <f t="shared" si="5"/>
        <v>Spełnia  art. 243</v>
      </c>
      <c r="P55" s="155" t="str">
        <f t="shared" si="5"/>
        <v>Spełnia  art. 243</v>
      </c>
      <c r="Q55" s="155" t="str">
        <f t="shared" si="5"/>
        <v>Spełnia  art. 243</v>
      </c>
      <c r="R55" s="155" t="str">
        <f t="shared" si="5"/>
        <v>Spełnia  art. 243</v>
      </c>
      <c r="S55" s="155" t="str">
        <f t="shared" si="5"/>
        <v>Spełnia  art. 243</v>
      </c>
      <c r="T55" s="155" t="str">
        <f t="shared" si="5"/>
        <v>Spełnia  art. 243</v>
      </c>
      <c r="U55" s="155" t="str">
        <f t="shared" si="5"/>
        <v>Spełnia  art. 243</v>
      </c>
      <c r="V55" s="155" t="str">
        <f t="shared" si="5"/>
        <v>Spełnia  art. 243</v>
      </c>
      <c r="W55" s="155" t="str">
        <f t="shared" si="5"/>
        <v>Spełnia  art. 243</v>
      </c>
      <c r="X55" s="155" t="str">
        <f t="shared" si="5"/>
        <v>Spełnia  art. 243</v>
      </c>
      <c r="Y55" s="155" t="str">
        <f t="shared" si="5"/>
        <v>Spełnia  art. 243</v>
      </c>
      <c r="Z55" s="155" t="str">
        <f t="shared" si="5"/>
        <v>Spełnia  art. 243</v>
      </c>
      <c r="AA55" s="155" t="str">
        <f t="shared" si="5"/>
        <v>Spełnia  art. 243</v>
      </c>
      <c r="AB55" s="155" t="str">
        <f t="shared" si="5"/>
        <v>Spełnia  art. 243</v>
      </c>
      <c r="AC55" s="155" t="str">
        <f t="shared" si="5"/>
        <v>Spełnia  art. 243</v>
      </c>
      <c r="AD55" s="155" t="str">
        <f t="shared" si="5"/>
        <v>Spełnia  art. 243</v>
      </c>
      <c r="AE55" s="155" t="str">
        <f t="shared" ref="AE55:AO55" si="6">IF(AE54&lt;=AE$51,"Spełnia  art. 243","Nie spełnia art. 243")</f>
        <v>Spełnia  art. 243</v>
      </c>
      <c r="AF55" s="155" t="str">
        <f t="shared" si="6"/>
        <v>Spełnia  art. 243</v>
      </c>
      <c r="AG55" s="155" t="str">
        <f t="shared" si="6"/>
        <v>Spełnia  art. 243</v>
      </c>
      <c r="AH55" s="155" t="str">
        <f t="shared" si="6"/>
        <v>Spełnia  art. 243</v>
      </c>
      <c r="AI55" s="155" t="str">
        <f t="shared" si="6"/>
        <v>Spełnia  art. 243</v>
      </c>
      <c r="AJ55" s="155" t="str">
        <f t="shared" si="6"/>
        <v>Spełnia  art. 243</v>
      </c>
      <c r="AK55" s="155" t="str">
        <f t="shared" si="6"/>
        <v>Spełnia  art. 243</v>
      </c>
      <c r="AL55" s="155" t="str">
        <f t="shared" si="6"/>
        <v>Spełnia  art. 243</v>
      </c>
      <c r="AM55" s="155" t="str">
        <f t="shared" si="6"/>
        <v>Spełnia  art. 243</v>
      </c>
      <c r="AN55" s="155" t="str">
        <f t="shared" si="6"/>
        <v>Spełnia  art. 243</v>
      </c>
      <c r="AO55" s="155" t="str">
        <f t="shared" si="6"/>
        <v>Spełnia  art. 243</v>
      </c>
    </row>
    <row r="56" spans="1:41" ht="12.75">
      <c r="A56" s="156">
        <v>23</v>
      </c>
      <c r="B56" s="157" t="s">
        <v>149</v>
      </c>
      <c r="C56" s="141">
        <f>315783037.79</f>
        <v>315783037.79000002</v>
      </c>
      <c r="D56" s="141">
        <f>324141487.97</f>
        <v>324141487.97000003</v>
      </c>
      <c r="E56" s="141">
        <f>318220327</f>
        <v>318220327</v>
      </c>
      <c r="F56" s="141">
        <f>321105175</f>
        <v>321105175</v>
      </c>
      <c r="G56" s="141">
        <f>330630158</f>
        <v>330630158</v>
      </c>
      <c r="H56" s="141">
        <f>340549063</f>
        <v>340549063</v>
      </c>
      <c r="I56" s="141">
        <f>350765535</f>
        <v>350765535</v>
      </c>
      <c r="J56" s="141">
        <f>361288501</f>
        <v>361288501</v>
      </c>
      <c r="K56" s="141">
        <f>372127156</f>
        <v>372127156</v>
      </c>
      <c r="L56" s="141">
        <f>383290971</f>
        <v>383290971</v>
      </c>
      <c r="M56" s="141">
        <f>394789700</f>
        <v>394789700</v>
      </c>
      <c r="N56" s="141">
        <f>406633391</f>
        <v>406633391</v>
      </c>
      <c r="O56" s="141">
        <f>418832393</f>
        <v>418832393</v>
      </c>
      <c r="P56" s="141">
        <f>431397365</f>
        <v>431397365</v>
      </c>
      <c r="Q56" s="141">
        <f>444339286</f>
        <v>444339286</v>
      </c>
      <c r="R56" s="141">
        <f>457669464</f>
        <v>457669464</v>
      </c>
      <c r="S56" s="141">
        <f>471399548</f>
        <v>471399548</v>
      </c>
      <c r="T56" s="141">
        <f>485541534</f>
        <v>485541534</v>
      </c>
      <c r="U56" s="141">
        <f>500107780</f>
        <v>500107780</v>
      </c>
      <c r="V56" s="141">
        <f>0</f>
        <v>0</v>
      </c>
      <c r="W56" s="141">
        <f>0</f>
        <v>0</v>
      </c>
      <c r="X56" s="141">
        <f>0</f>
        <v>0</v>
      </c>
      <c r="Y56" s="141">
        <f>0</f>
        <v>0</v>
      </c>
      <c r="Z56" s="141">
        <f>0</f>
        <v>0</v>
      </c>
      <c r="AA56" s="141">
        <f>0</f>
        <v>0</v>
      </c>
      <c r="AB56" s="141">
        <f>0</f>
        <v>0</v>
      </c>
      <c r="AC56" s="141">
        <f>0</f>
        <v>0</v>
      </c>
      <c r="AD56" s="141">
        <f>0</f>
        <v>0</v>
      </c>
      <c r="AE56" s="141">
        <f>0</f>
        <v>0</v>
      </c>
      <c r="AF56" s="141">
        <f>0</f>
        <v>0</v>
      </c>
      <c r="AG56" s="141">
        <f>0</f>
        <v>0</v>
      </c>
      <c r="AH56" s="141">
        <f>0</f>
        <v>0</v>
      </c>
      <c r="AI56" s="141">
        <f>0</f>
        <v>0</v>
      </c>
      <c r="AJ56" s="141">
        <f>0</f>
        <v>0</v>
      </c>
      <c r="AK56" s="141">
        <f>0</f>
        <v>0</v>
      </c>
      <c r="AL56" s="141">
        <f>0</f>
        <v>0</v>
      </c>
      <c r="AM56" s="141">
        <f>0</f>
        <v>0</v>
      </c>
      <c r="AN56" s="141">
        <f>0</f>
        <v>0</v>
      </c>
      <c r="AO56" s="141">
        <f>0</f>
        <v>0</v>
      </c>
    </row>
    <row r="57" spans="1:41" ht="12.75">
      <c r="A57" s="128">
        <v>24</v>
      </c>
      <c r="B57" s="129" t="s">
        <v>150</v>
      </c>
      <c r="C57" s="119">
        <f>282976359.83</f>
        <v>282976359.82999998</v>
      </c>
      <c r="D57" s="119">
        <f>292260809.62</f>
        <v>292260809.62</v>
      </c>
      <c r="E57" s="119">
        <f>300922645</f>
        <v>300922645</v>
      </c>
      <c r="F57" s="119">
        <f>309571140</f>
        <v>309571140</v>
      </c>
      <c r="G57" s="119">
        <f>317694208</f>
        <v>317694208</v>
      </c>
      <c r="H57" s="119">
        <f>328366220</f>
        <v>328366220</v>
      </c>
      <c r="I57" s="119">
        <f>335169184</f>
        <v>335169184</v>
      </c>
      <c r="J57" s="119">
        <f>344268687</f>
        <v>344268687</v>
      </c>
      <c r="K57" s="119">
        <f>353533890</f>
        <v>353533890</v>
      </c>
      <c r="L57" s="119">
        <f>363072521</f>
        <v>363072521</v>
      </c>
      <c r="M57" s="119">
        <f>372775474</f>
        <v>372775474</v>
      </c>
      <c r="N57" s="119">
        <f>382818358</f>
        <v>382818358</v>
      </c>
      <c r="O57" s="119">
        <f>393592186</f>
        <v>393592186</v>
      </c>
      <c r="P57" s="119">
        <f>405378563</f>
        <v>405378563</v>
      </c>
      <c r="Q57" s="119">
        <f>417519075</f>
        <v>417519075</v>
      </c>
      <c r="R57" s="119">
        <f>430024345</f>
        <v>430024345</v>
      </c>
      <c r="S57" s="119">
        <f>442905318</f>
        <v>442905318</v>
      </c>
      <c r="T57" s="119">
        <f>456191390</f>
        <v>456191390</v>
      </c>
      <c r="U57" s="119">
        <f>469839791</f>
        <v>469839791</v>
      </c>
      <c r="V57" s="119">
        <f>0</f>
        <v>0</v>
      </c>
      <c r="W57" s="119">
        <f>0</f>
        <v>0</v>
      </c>
      <c r="X57" s="119">
        <f>0</f>
        <v>0</v>
      </c>
      <c r="Y57" s="119">
        <f>0</f>
        <v>0</v>
      </c>
      <c r="Z57" s="119">
        <f>0</f>
        <v>0</v>
      </c>
      <c r="AA57" s="119">
        <f>0</f>
        <v>0</v>
      </c>
      <c r="AB57" s="119">
        <f>0</f>
        <v>0</v>
      </c>
      <c r="AC57" s="119">
        <f>0</f>
        <v>0</v>
      </c>
      <c r="AD57" s="119">
        <f>0</f>
        <v>0</v>
      </c>
      <c r="AE57" s="119">
        <f>0</f>
        <v>0</v>
      </c>
      <c r="AF57" s="119">
        <f>0</f>
        <v>0</v>
      </c>
      <c r="AG57" s="119">
        <f>0</f>
        <v>0</v>
      </c>
      <c r="AH57" s="119">
        <f>0</f>
        <v>0</v>
      </c>
      <c r="AI57" s="119">
        <f>0</f>
        <v>0</v>
      </c>
      <c r="AJ57" s="119">
        <f>0</f>
        <v>0</v>
      </c>
      <c r="AK57" s="119">
        <f>0</f>
        <v>0</v>
      </c>
      <c r="AL57" s="119">
        <f>0</f>
        <v>0</v>
      </c>
      <c r="AM57" s="119">
        <f>0</f>
        <v>0</v>
      </c>
      <c r="AN57" s="119">
        <f>0</f>
        <v>0</v>
      </c>
      <c r="AO57" s="119">
        <f>0</f>
        <v>0</v>
      </c>
    </row>
    <row r="58" spans="1:41" ht="12.75">
      <c r="A58" s="153">
        <v>25</v>
      </c>
      <c r="B58" s="158" t="s">
        <v>49</v>
      </c>
      <c r="C58" s="132">
        <f>32806677.96</f>
        <v>32806677.960000001</v>
      </c>
      <c r="D58" s="132">
        <f>31880678.35</f>
        <v>31880678.350000001</v>
      </c>
      <c r="E58" s="132">
        <f>17297682</f>
        <v>17297682</v>
      </c>
      <c r="F58" s="132">
        <f>11534035</f>
        <v>11534035</v>
      </c>
      <c r="G58" s="132">
        <f>12935950</f>
        <v>12935950</v>
      </c>
      <c r="H58" s="132">
        <f>12182843</f>
        <v>12182843</v>
      </c>
      <c r="I58" s="132">
        <f>15596351</f>
        <v>15596351</v>
      </c>
      <c r="J58" s="132">
        <f>17019814</f>
        <v>17019814</v>
      </c>
      <c r="K58" s="132">
        <f>18593266</f>
        <v>18593266</v>
      </c>
      <c r="L58" s="132">
        <f>20218450</f>
        <v>20218450</v>
      </c>
      <c r="M58" s="132">
        <f>22014226</f>
        <v>22014226</v>
      </c>
      <c r="N58" s="132">
        <f>23815033</f>
        <v>23815033</v>
      </c>
      <c r="O58" s="132">
        <f>25240207</f>
        <v>25240207</v>
      </c>
      <c r="P58" s="132">
        <f>26018802</f>
        <v>26018802</v>
      </c>
      <c r="Q58" s="132">
        <f>26820211</f>
        <v>26820211</v>
      </c>
      <c r="R58" s="132">
        <f>27645119</f>
        <v>27645119</v>
      </c>
      <c r="S58" s="132">
        <f>28494230</f>
        <v>28494230</v>
      </c>
      <c r="T58" s="132">
        <f>29350144</f>
        <v>29350144</v>
      </c>
      <c r="U58" s="132">
        <f>30267989</f>
        <v>30267989</v>
      </c>
      <c r="V58" s="132">
        <f>0</f>
        <v>0</v>
      </c>
      <c r="W58" s="132">
        <f>0</f>
        <v>0</v>
      </c>
      <c r="X58" s="132">
        <f>0</f>
        <v>0</v>
      </c>
      <c r="Y58" s="132">
        <f>0</f>
        <v>0</v>
      </c>
      <c r="Z58" s="132">
        <f>0</f>
        <v>0</v>
      </c>
      <c r="AA58" s="132">
        <f>0</f>
        <v>0</v>
      </c>
      <c r="AB58" s="132">
        <f>0</f>
        <v>0</v>
      </c>
      <c r="AC58" s="132">
        <f>0</f>
        <v>0</v>
      </c>
      <c r="AD58" s="132">
        <f>0</f>
        <v>0</v>
      </c>
      <c r="AE58" s="132">
        <f>0</f>
        <v>0</v>
      </c>
      <c r="AF58" s="132">
        <f>0</f>
        <v>0</v>
      </c>
      <c r="AG58" s="132">
        <f>0</f>
        <v>0</v>
      </c>
      <c r="AH58" s="132">
        <f>0</f>
        <v>0</v>
      </c>
      <c r="AI58" s="132">
        <f>0</f>
        <v>0</v>
      </c>
      <c r="AJ58" s="132">
        <f>0</f>
        <v>0</v>
      </c>
      <c r="AK58" s="132">
        <f>0</f>
        <v>0</v>
      </c>
      <c r="AL58" s="132">
        <f>0</f>
        <v>0</v>
      </c>
      <c r="AM58" s="132">
        <f>0</f>
        <v>0</v>
      </c>
      <c r="AN58" s="132">
        <f>0</f>
        <v>0</v>
      </c>
      <c r="AO58" s="132">
        <f>0</f>
        <v>0</v>
      </c>
    </row>
    <row r="59" spans="1:41" ht="12.75">
      <c r="A59" s="156">
        <v>26</v>
      </c>
      <c r="B59" s="157" t="s">
        <v>151</v>
      </c>
      <c r="C59" s="141">
        <f>404385559.97</f>
        <v>404385559.97000003</v>
      </c>
      <c r="D59" s="141">
        <f>395472749.97</f>
        <v>395472749.97000003</v>
      </c>
      <c r="E59" s="141">
        <f>324543423</f>
        <v>324543423</v>
      </c>
      <c r="F59" s="141">
        <f>340077909</f>
        <v>340077909</v>
      </c>
      <c r="G59" s="141">
        <f>341930158</f>
        <v>341930158</v>
      </c>
      <c r="H59" s="141">
        <f>350549063</f>
        <v>350549063</v>
      </c>
      <c r="I59" s="141">
        <f>360765535</f>
        <v>360765535</v>
      </c>
      <c r="J59" s="141">
        <f>368288501</f>
        <v>368288501</v>
      </c>
      <c r="K59" s="141">
        <f>378127156</f>
        <v>378127156</v>
      </c>
      <c r="L59" s="141">
        <f>387290971</f>
        <v>387290971</v>
      </c>
      <c r="M59" s="141">
        <f>397789700</f>
        <v>397789700</v>
      </c>
      <c r="N59" s="141">
        <f>410133391</f>
        <v>410133391</v>
      </c>
      <c r="O59" s="141">
        <f>419332393</f>
        <v>419332393</v>
      </c>
      <c r="P59" s="141">
        <f>431897365</f>
        <v>431897365</v>
      </c>
      <c r="Q59" s="141">
        <f>444839286</f>
        <v>444839286</v>
      </c>
      <c r="R59" s="141">
        <f>458169464</f>
        <v>458169464</v>
      </c>
      <c r="S59" s="141">
        <f>471899548</f>
        <v>471899548</v>
      </c>
      <c r="T59" s="141">
        <f>486041534</f>
        <v>486041534</v>
      </c>
      <c r="U59" s="141">
        <f>500607780</f>
        <v>500607780</v>
      </c>
      <c r="V59" s="141">
        <f>0</f>
        <v>0</v>
      </c>
      <c r="W59" s="141">
        <f>0</f>
        <v>0</v>
      </c>
      <c r="X59" s="141">
        <f>0</f>
        <v>0</v>
      </c>
      <c r="Y59" s="141">
        <f>0</f>
        <v>0</v>
      </c>
      <c r="Z59" s="141">
        <f>0</f>
        <v>0</v>
      </c>
      <c r="AA59" s="141">
        <f>0</f>
        <v>0</v>
      </c>
      <c r="AB59" s="141">
        <f>0</f>
        <v>0</v>
      </c>
      <c r="AC59" s="141">
        <f>0</f>
        <v>0</v>
      </c>
      <c r="AD59" s="141">
        <f>0</f>
        <v>0</v>
      </c>
      <c r="AE59" s="141">
        <f>0</f>
        <v>0</v>
      </c>
      <c r="AF59" s="141">
        <f>0</f>
        <v>0</v>
      </c>
      <c r="AG59" s="141">
        <f>0</f>
        <v>0</v>
      </c>
      <c r="AH59" s="141">
        <f>0</f>
        <v>0</v>
      </c>
      <c r="AI59" s="141">
        <f>0</f>
        <v>0</v>
      </c>
      <c r="AJ59" s="141">
        <f>0</f>
        <v>0</v>
      </c>
      <c r="AK59" s="141">
        <f>0</f>
        <v>0</v>
      </c>
      <c r="AL59" s="141">
        <f>0</f>
        <v>0</v>
      </c>
      <c r="AM59" s="141">
        <f>0</f>
        <v>0</v>
      </c>
      <c r="AN59" s="141">
        <f>0</f>
        <v>0</v>
      </c>
      <c r="AO59" s="141">
        <f>0</f>
        <v>0</v>
      </c>
    </row>
    <row r="60" spans="1:41" ht="12.75">
      <c r="A60" s="128">
        <v>27</v>
      </c>
      <c r="B60" s="129" t="s">
        <v>46</v>
      </c>
      <c r="C60" s="119">
        <f>460392537.24</f>
        <v>460392537.24000001</v>
      </c>
      <c r="D60" s="119">
        <f>424806536.16</f>
        <v>424806536.16000003</v>
      </c>
      <c r="E60" s="119">
        <f>331136968</f>
        <v>331136968</v>
      </c>
      <c r="F60" s="119">
        <f>319333500</f>
        <v>319333500</v>
      </c>
      <c r="G60" s="119">
        <f>324462598</f>
        <v>324462598</v>
      </c>
      <c r="H60" s="119">
        <f>334963040</f>
        <v>334963040</v>
      </c>
      <c r="I60" s="119">
        <f>343655423</f>
        <v>343655423</v>
      </c>
      <c r="J60" s="119">
        <f>348888501</f>
        <v>348888501</v>
      </c>
      <c r="K60" s="119">
        <f>357427156</f>
        <v>357427156</v>
      </c>
      <c r="L60" s="119">
        <f>365207954</f>
        <v>365207954</v>
      </c>
      <c r="M60" s="119">
        <f>375140464</f>
        <v>375140464</v>
      </c>
      <c r="N60" s="119">
        <f>395423958</f>
        <v>395423958</v>
      </c>
      <c r="O60" s="119">
        <f>415707114</f>
        <v>415707114</v>
      </c>
      <c r="P60" s="119">
        <f>428272086</f>
        <v>428272086</v>
      </c>
      <c r="Q60" s="119">
        <f>441214007</f>
        <v>441214007</v>
      </c>
      <c r="R60" s="119">
        <f>454544185</f>
        <v>454544185</v>
      </c>
      <c r="S60" s="119">
        <f>468274269</f>
        <v>468274269</v>
      </c>
      <c r="T60" s="119">
        <f>482416254.63</f>
        <v>482416254.63</v>
      </c>
      <c r="U60" s="119">
        <f>500607780</f>
        <v>500607780</v>
      </c>
      <c r="V60" s="119">
        <f>0</f>
        <v>0</v>
      </c>
      <c r="W60" s="119">
        <f>0</f>
        <v>0</v>
      </c>
      <c r="X60" s="119">
        <f>0</f>
        <v>0</v>
      </c>
      <c r="Y60" s="119">
        <f>0</f>
        <v>0</v>
      </c>
      <c r="Z60" s="119">
        <f>0</f>
        <v>0</v>
      </c>
      <c r="AA60" s="119">
        <f>0</f>
        <v>0</v>
      </c>
      <c r="AB60" s="119">
        <f>0</f>
        <v>0</v>
      </c>
      <c r="AC60" s="119">
        <f>0</f>
        <v>0</v>
      </c>
      <c r="AD60" s="119">
        <f>0</f>
        <v>0</v>
      </c>
      <c r="AE60" s="119">
        <f>0</f>
        <v>0</v>
      </c>
      <c r="AF60" s="119">
        <f>0</f>
        <v>0</v>
      </c>
      <c r="AG60" s="119">
        <f>0</f>
        <v>0</v>
      </c>
      <c r="AH60" s="119">
        <f>0</f>
        <v>0</v>
      </c>
      <c r="AI60" s="119">
        <f>0</f>
        <v>0</v>
      </c>
      <c r="AJ60" s="119">
        <f>0</f>
        <v>0</v>
      </c>
      <c r="AK60" s="119">
        <f>0</f>
        <v>0</v>
      </c>
      <c r="AL60" s="119">
        <f>0</f>
        <v>0</v>
      </c>
      <c r="AM60" s="119">
        <f>0</f>
        <v>0</v>
      </c>
      <c r="AN60" s="119">
        <f>0</f>
        <v>0</v>
      </c>
      <c r="AO60" s="119">
        <f>0</f>
        <v>0</v>
      </c>
    </row>
    <row r="61" spans="1:41">
      <c r="A61" s="130">
        <v>28</v>
      </c>
      <c r="B61" s="161" t="s">
        <v>48</v>
      </c>
      <c r="C61" s="132">
        <f>-56006977.27</f>
        <v>-56006977.270000003</v>
      </c>
      <c r="D61" s="132">
        <f>-29333786.19</f>
        <v>-29333786.190000001</v>
      </c>
      <c r="E61" s="132">
        <f>-6593545</f>
        <v>-6593545</v>
      </c>
      <c r="F61" s="132">
        <f>20744409</f>
        <v>20744409</v>
      </c>
      <c r="G61" s="132">
        <f>17467560</f>
        <v>17467560</v>
      </c>
      <c r="H61" s="132">
        <f>15586023</f>
        <v>15586023</v>
      </c>
      <c r="I61" s="132">
        <f>17110112</f>
        <v>17110112</v>
      </c>
      <c r="J61" s="132">
        <f>19400000</f>
        <v>19400000</v>
      </c>
      <c r="K61" s="132">
        <f>20700000</f>
        <v>20700000</v>
      </c>
      <c r="L61" s="132">
        <f>22083017</f>
        <v>22083017</v>
      </c>
      <c r="M61" s="132">
        <f>22649236</f>
        <v>22649236</v>
      </c>
      <c r="N61" s="132">
        <f>14709433</f>
        <v>14709433</v>
      </c>
      <c r="O61" s="132">
        <f>3625279</f>
        <v>3625279</v>
      </c>
      <c r="P61" s="132">
        <f>3625279</f>
        <v>3625279</v>
      </c>
      <c r="Q61" s="132">
        <f>3625279</f>
        <v>3625279</v>
      </c>
      <c r="R61" s="132">
        <f>3625279</f>
        <v>3625279</v>
      </c>
      <c r="S61" s="132">
        <f>3625279</f>
        <v>3625279</v>
      </c>
      <c r="T61" s="132">
        <f>3625279.37</f>
        <v>3625279.37</v>
      </c>
      <c r="U61" s="132">
        <f>0</f>
        <v>0</v>
      </c>
      <c r="V61" s="132">
        <f>0</f>
        <v>0</v>
      </c>
      <c r="W61" s="132">
        <f>0</f>
        <v>0</v>
      </c>
      <c r="X61" s="132">
        <f>0</f>
        <v>0</v>
      </c>
      <c r="Y61" s="132">
        <f>0</f>
        <v>0</v>
      </c>
      <c r="Z61" s="132">
        <f>0</f>
        <v>0</v>
      </c>
      <c r="AA61" s="132">
        <f>0</f>
        <v>0</v>
      </c>
      <c r="AB61" s="132">
        <f>0</f>
        <v>0</v>
      </c>
      <c r="AC61" s="132">
        <f>0</f>
        <v>0</v>
      </c>
      <c r="AD61" s="132">
        <f>0</f>
        <v>0</v>
      </c>
      <c r="AE61" s="132">
        <f>0</f>
        <v>0</v>
      </c>
      <c r="AF61" s="132">
        <f>0</f>
        <v>0</v>
      </c>
      <c r="AG61" s="132">
        <f>0</f>
        <v>0</v>
      </c>
      <c r="AH61" s="132">
        <f>0</f>
        <v>0</v>
      </c>
      <c r="AI61" s="132">
        <f>0</f>
        <v>0</v>
      </c>
      <c r="AJ61" s="132">
        <f>0</f>
        <v>0</v>
      </c>
      <c r="AK61" s="132">
        <f>0</f>
        <v>0</v>
      </c>
      <c r="AL61" s="132">
        <f>0</f>
        <v>0</v>
      </c>
      <c r="AM61" s="132">
        <f>0</f>
        <v>0</v>
      </c>
      <c r="AN61" s="132">
        <f>0</f>
        <v>0</v>
      </c>
      <c r="AO61" s="132">
        <f>0</f>
        <v>0</v>
      </c>
    </row>
    <row r="62" spans="1:41">
      <c r="A62" s="159">
        <v>29</v>
      </c>
      <c r="B62" s="160" t="s">
        <v>152</v>
      </c>
      <c r="C62" s="140">
        <f>71153561.51</f>
        <v>71153561.510000005</v>
      </c>
      <c r="D62" s="140">
        <f>46371641.19</f>
        <v>46371641.189999998</v>
      </c>
      <c r="E62" s="140">
        <f>23493545</f>
        <v>23493545</v>
      </c>
      <c r="F62" s="140">
        <f>0</f>
        <v>0</v>
      </c>
      <c r="G62" s="140">
        <f>0</f>
        <v>0</v>
      </c>
      <c r="H62" s="140">
        <f>0</f>
        <v>0</v>
      </c>
      <c r="I62" s="140">
        <f>0</f>
        <v>0</v>
      </c>
      <c r="J62" s="140">
        <f>0</f>
        <v>0</v>
      </c>
      <c r="K62" s="140">
        <f>0</f>
        <v>0</v>
      </c>
      <c r="L62" s="140">
        <f>0</f>
        <v>0</v>
      </c>
      <c r="M62" s="140">
        <f>0</f>
        <v>0</v>
      </c>
      <c r="N62" s="140">
        <f>0</f>
        <v>0</v>
      </c>
      <c r="O62" s="140">
        <f>0</f>
        <v>0</v>
      </c>
      <c r="P62" s="140">
        <f>0</f>
        <v>0</v>
      </c>
      <c r="Q62" s="140">
        <f>0</f>
        <v>0</v>
      </c>
      <c r="R62" s="140">
        <f>0</f>
        <v>0</v>
      </c>
      <c r="S62" s="140">
        <f>0</f>
        <v>0</v>
      </c>
      <c r="T62" s="140">
        <f>0</f>
        <v>0</v>
      </c>
      <c r="U62" s="140">
        <f>0</f>
        <v>0</v>
      </c>
      <c r="V62" s="140">
        <f>0</f>
        <v>0</v>
      </c>
      <c r="W62" s="140">
        <f>0</f>
        <v>0</v>
      </c>
      <c r="X62" s="140">
        <f>0</f>
        <v>0</v>
      </c>
      <c r="Y62" s="140">
        <f>0</f>
        <v>0</v>
      </c>
      <c r="Z62" s="140">
        <f>0</f>
        <v>0</v>
      </c>
      <c r="AA62" s="140">
        <f>0</f>
        <v>0</v>
      </c>
      <c r="AB62" s="140">
        <f>0</f>
        <v>0</v>
      </c>
      <c r="AC62" s="140">
        <f>0</f>
        <v>0</v>
      </c>
      <c r="AD62" s="140">
        <f>0</f>
        <v>0</v>
      </c>
      <c r="AE62" s="140">
        <f>0</f>
        <v>0</v>
      </c>
      <c r="AF62" s="140">
        <f>0</f>
        <v>0</v>
      </c>
      <c r="AG62" s="140">
        <f>0</f>
        <v>0</v>
      </c>
      <c r="AH62" s="140">
        <f>0</f>
        <v>0</v>
      </c>
      <c r="AI62" s="140">
        <f>0</f>
        <v>0</v>
      </c>
      <c r="AJ62" s="140">
        <f>0</f>
        <v>0</v>
      </c>
      <c r="AK62" s="140">
        <f>0</f>
        <v>0</v>
      </c>
      <c r="AL62" s="140">
        <f>0</f>
        <v>0</v>
      </c>
      <c r="AM62" s="140">
        <f>0</f>
        <v>0</v>
      </c>
      <c r="AN62" s="140">
        <f>0</f>
        <v>0</v>
      </c>
      <c r="AO62" s="140">
        <f>0</f>
        <v>0</v>
      </c>
    </row>
    <row r="63" spans="1:41">
      <c r="A63" s="130">
        <v>30</v>
      </c>
      <c r="B63" s="131" t="s">
        <v>153</v>
      </c>
      <c r="C63" s="132">
        <f>15146584.24</f>
        <v>15146584.24</v>
      </c>
      <c r="D63" s="132">
        <f>17037855</f>
        <v>17037855</v>
      </c>
      <c r="E63" s="132">
        <f>16900000</f>
        <v>16900000</v>
      </c>
      <c r="F63" s="132">
        <f>20744409</f>
        <v>20744409</v>
      </c>
      <c r="G63" s="132">
        <f>17467560</f>
        <v>17467560</v>
      </c>
      <c r="H63" s="132">
        <f>15586023</f>
        <v>15586023</v>
      </c>
      <c r="I63" s="132">
        <f>17110112</f>
        <v>17110112</v>
      </c>
      <c r="J63" s="132">
        <f>19400000</f>
        <v>19400000</v>
      </c>
      <c r="K63" s="132">
        <f>20700000</f>
        <v>20700000</v>
      </c>
      <c r="L63" s="132">
        <f>22083017</f>
        <v>22083017</v>
      </c>
      <c r="M63" s="132">
        <f>22649236</f>
        <v>22649236</v>
      </c>
      <c r="N63" s="132">
        <f>14709433</f>
        <v>14709433</v>
      </c>
      <c r="O63" s="132">
        <f>3625279</f>
        <v>3625279</v>
      </c>
      <c r="P63" s="132">
        <f>3625279</f>
        <v>3625279</v>
      </c>
      <c r="Q63" s="132">
        <f>3625279</f>
        <v>3625279</v>
      </c>
      <c r="R63" s="132">
        <f>3625279</f>
        <v>3625279</v>
      </c>
      <c r="S63" s="132">
        <f>3625279</f>
        <v>3625279</v>
      </c>
      <c r="T63" s="132">
        <f>3625279.37</f>
        <v>3625279.37</v>
      </c>
      <c r="U63" s="132">
        <f>0</f>
        <v>0</v>
      </c>
      <c r="V63" s="132">
        <f>0</f>
        <v>0</v>
      </c>
      <c r="W63" s="132">
        <f>0</f>
        <v>0</v>
      </c>
      <c r="X63" s="132">
        <f>0</f>
        <v>0</v>
      </c>
      <c r="Y63" s="132">
        <f>0</f>
        <v>0</v>
      </c>
      <c r="Z63" s="132">
        <f>0</f>
        <v>0</v>
      </c>
      <c r="AA63" s="132">
        <f>0</f>
        <v>0</v>
      </c>
      <c r="AB63" s="132">
        <f>0</f>
        <v>0</v>
      </c>
      <c r="AC63" s="132">
        <f>0</f>
        <v>0</v>
      </c>
      <c r="AD63" s="132">
        <f>0</f>
        <v>0</v>
      </c>
      <c r="AE63" s="132">
        <f>0</f>
        <v>0</v>
      </c>
      <c r="AF63" s="132">
        <f>0</f>
        <v>0</v>
      </c>
      <c r="AG63" s="132">
        <f>0</f>
        <v>0</v>
      </c>
      <c r="AH63" s="132">
        <f>0</f>
        <v>0</v>
      </c>
      <c r="AI63" s="132">
        <f>0</f>
        <v>0</v>
      </c>
      <c r="AJ63" s="132">
        <f>0</f>
        <v>0</v>
      </c>
      <c r="AK63" s="132">
        <f>0</f>
        <v>0</v>
      </c>
      <c r="AL63" s="132">
        <f>0</f>
        <v>0</v>
      </c>
      <c r="AM63" s="132">
        <f>0</f>
        <v>0</v>
      </c>
      <c r="AN63" s="132">
        <f>0</f>
        <v>0</v>
      </c>
      <c r="AO63" s="132">
        <f>0</f>
        <v>0</v>
      </c>
    </row>
    <row r="64" spans="1:41">
      <c r="A64" s="4"/>
      <c r="B64" s="5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>
      <c r="A65" s="4"/>
      <c r="B65" s="46" t="s">
        <v>88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>
      <c r="B66" s="46" t="s">
        <v>163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</sheetData>
  <phoneticPr fontId="0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85" orientation="landscape" blackAndWhite="1" horizontalDpi="4294967293" r:id="rId1"/>
  <headerFooter>
    <oddFooter>&amp;L&amp;"Czcionka tekstu podstawowego,Kursywa"&amp;8Wersja szablonu wydruku: 2011-11-04a&amp;C&amp;8Strona &amp;P z &amp;N&amp;R&amp;"Czcionka tekstu podstawowego,Kursywa"&amp;8Wydruk z dn.: &amp;D - &amp;T</oddFooter>
  </headerFooter>
  <rowBreaks count="1" manualBreakCount="1">
    <brk id="45" min="2" max="4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/>
  <dimension ref="A2:AP60"/>
  <sheetViews>
    <sheetView topLeftCell="A40" workbookViewId="0">
      <selection activeCell="B60" sqref="B60"/>
    </sheetView>
  </sheetViews>
  <sheetFormatPr defaultRowHeight="14.25"/>
  <cols>
    <col min="2" max="2" width="3.875" bestFit="1" customWidth="1"/>
    <col min="3" max="3" width="51.5" customWidth="1"/>
    <col min="4" max="4" width="19.875" customWidth="1"/>
    <col min="5" max="12" width="16.75" bestFit="1" customWidth="1"/>
  </cols>
  <sheetData>
    <row r="2" spans="1:42" ht="15" thickBot="1"/>
    <row r="3" spans="1:42" ht="15" customHeight="1" thickBot="1">
      <c r="A3" s="5"/>
      <c r="B3" s="6" t="s">
        <v>0</v>
      </c>
      <c r="C3" s="50" t="s">
        <v>1</v>
      </c>
      <c r="D3" s="13">
        <v>2012</v>
      </c>
      <c r="E3" s="13">
        <v>2013</v>
      </c>
      <c r="F3" s="13">
        <v>2014</v>
      </c>
      <c r="G3" s="13">
        <v>2015</v>
      </c>
      <c r="H3" s="13">
        <v>2016</v>
      </c>
      <c r="I3" s="13">
        <v>2017</v>
      </c>
      <c r="J3" s="13">
        <v>2018</v>
      </c>
      <c r="K3" s="13">
        <v>2019</v>
      </c>
      <c r="L3" s="14">
        <v>2020</v>
      </c>
      <c r="M3" s="24">
        <v>2021</v>
      </c>
      <c r="N3" s="13">
        <v>2022</v>
      </c>
      <c r="O3" s="13">
        <v>2023</v>
      </c>
      <c r="P3" s="13">
        <v>2024</v>
      </c>
      <c r="Q3" s="13">
        <v>2025</v>
      </c>
      <c r="R3" s="13">
        <v>2026</v>
      </c>
      <c r="S3" s="13">
        <v>2027</v>
      </c>
      <c r="T3" s="13">
        <v>2028</v>
      </c>
      <c r="U3" s="13">
        <v>2029</v>
      </c>
      <c r="V3" s="13">
        <v>2030</v>
      </c>
      <c r="W3" s="13">
        <v>2031</v>
      </c>
      <c r="X3" s="13">
        <v>2032</v>
      </c>
      <c r="Y3" s="13">
        <v>2033</v>
      </c>
      <c r="Z3" s="13">
        <v>2034</v>
      </c>
      <c r="AA3" s="13">
        <v>2035</v>
      </c>
      <c r="AB3" s="13">
        <v>2036</v>
      </c>
      <c r="AC3" s="13">
        <v>2037</v>
      </c>
      <c r="AD3" s="13">
        <v>2038</v>
      </c>
      <c r="AE3" s="13">
        <v>2039</v>
      </c>
      <c r="AF3" s="14" t="s">
        <v>26</v>
      </c>
      <c r="AG3" s="14">
        <v>2041</v>
      </c>
      <c r="AH3" s="14">
        <v>2042</v>
      </c>
      <c r="AI3" s="14">
        <v>2043</v>
      </c>
      <c r="AJ3" s="14">
        <v>2044</v>
      </c>
      <c r="AK3" s="14">
        <v>2045</v>
      </c>
      <c r="AL3" s="14">
        <v>2046</v>
      </c>
      <c r="AM3" s="14">
        <v>2047</v>
      </c>
      <c r="AN3" s="14">
        <v>2048</v>
      </c>
      <c r="AO3" s="14">
        <v>2049</v>
      </c>
      <c r="AP3" s="14">
        <v>2050</v>
      </c>
    </row>
    <row r="4" spans="1:42" ht="14.25" customHeight="1">
      <c r="A4" s="12">
        <v>1</v>
      </c>
      <c r="B4" s="39">
        <v>1</v>
      </c>
      <c r="C4" s="51" t="s">
        <v>93</v>
      </c>
      <c r="D4" s="25" t="str">
        <f t="shared" ref="D4:AF16" si="0">+"rokprognozy="&amp;D$3&amp;" i lp="&amp;$A4</f>
        <v>rokprognozy=2012 i lp=1</v>
      </c>
      <c r="E4" s="25" t="str">
        <f t="shared" si="0"/>
        <v>rokprognozy=2013 i lp=1</v>
      </c>
      <c r="F4" s="25" t="str">
        <f t="shared" si="0"/>
        <v>rokprognozy=2014 i lp=1</v>
      </c>
      <c r="G4" s="25" t="str">
        <f t="shared" si="0"/>
        <v>rokprognozy=2015 i lp=1</v>
      </c>
      <c r="H4" s="25" t="str">
        <f t="shared" si="0"/>
        <v>rokprognozy=2016 i lp=1</v>
      </c>
      <c r="I4" s="25" t="str">
        <f t="shared" si="0"/>
        <v>rokprognozy=2017 i lp=1</v>
      </c>
      <c r="J4" s="25" t="str">
        <f t="shared" si="0"/>
        <v>rokprognozy=2018 i lp=1</v>
      </c>
      <c r="K4" s="25" t="str">
        <f t="shared" si="0"/>
        <v>rokprognozy=2019 i lp=1</v>
      </c>
      <c r="L4" s="25" t="str">
        <f t="shared" si="0"/>
        <v>rokprognozy=2020 i lp=1</v>
      </c>
      <c r="M4" s="25" t="str">
        <f t="shared" si="0"/>
        <v>rokprognozy=2021 i lp=1</v>
      </c>
      <c r="N4" s="25" t="str">
        <f t="shared" si="0"/>
        <v>rokprognozy=2022 i lp=1</v>
      </c>
      <c r="O4" s="25" t="str">
        <f t="shared" si="0"/>
        <v>rokprognozy=2023 i lp=1</v>
      </c>
      <c r="P4" s="25" t="str">
        <f t="shared" si="0"/>
        <v>rokprognozy=2024 i lp=1</v>
      </c>
      <c r="Q4" s="25" t="str">
        <f t="shared" si="0"/>
        <v>rokprognozy=2025 i lp=1</v>
      </c>
      <c r="R4" s="25" t="str">
        <f t="shared" si="0"/>
        <v>rokprognozy=2026 i lp=1</v>
      </c>
      <c r="S4" s="25" t="str">
        <f t="shared" si="0"/>
        <v>rokprognozy=2027 i lp=1</v>
      </c>
      <c r="T4" s="25" t="str">
        <f t="shared" si="0"/>
        <v>rokprognozy=2028 i lp=1</v>
      </c>
      <c r="U4" s="25" t="str">
        <f t="shared" si="0"/>
        <v>rokprognozy=2029 i lp=1</v>
      </c>
      <c r="V4" s="25" t="str">
        <f t="shared" si="0"/>
        <v>rokprognozy=2030 i lp=1</v>
      </c>
      <c r="W4" s="25" t="str">
        <f t="shared" si="0"/>
        <v>rokprognozy=2031 i lp=1</v>
      </c>
      <c r="X4" s="25" t="str">
        <f t="shared" si="0"/>
        <v>rokprognozy=2032 i lp=1</v>
      </c>
      <c r="Y4" s="25" t="str">
        <f t="shared" si="0"/>
        <v>rokprognozy=2033 i lp=1</v>
      </c>
      <c r="Z4" s="25" t="str">
        <f t="shared" si="0"/>
        <v>rokprognozy=2034 i lp=1</v>
      </c>
      <c r="AA4" s="25" t="str">
        <f t="shared" si="0"/>
        <v>rokprognozy=2035 i lp=1</v>
      </c>
      <c r="AB4" s="25" t="str">
        <f t="shared" si="0"/>
        <v>rokprognozy=2036 i lp=1</v>
      </c>
      <c r="AC4" s="25" t="str">
        <f t="shared" si="0"/>
        <v>rokprognozy=2037 i lp=1</v>
      </c>
      <c r="AD4" s="25" t="str">
        <f t="shared" si="0"/>
        <v>rokprognozy=2038 i lp=1</v>
      </c>
      <c r="AE4" s="25" t="str">
        <f t="shared" si="0"/>
        <v>rokprognozy=2039 i lp=1</v>
      </c>
      <c r="AF4" s="25" t="str">
        <f t="shared" si="0"/>
        <v>rokprognozy=2040 i lp=1</v>
      </c>
      <c r="AG4" s="25" t="str">
        <f t="shared" ref="AG4:AP15" si="1">+"rokprognozy="&amp;AG$3&amp;" i lp="&amp;$A4</f>
        <v>rokprognozy=2041 i lp=1</v>
      </c>
      <c r="AH4" s="25" t="str">
        <f t="shared" si="1"/>
        <v>rokprognozy=2042 i lp=1</v>
      </c>
      <c r="AI4" s="25" t="str">
        <f t="shared" si="1"/>
        <v>rokprognozy=2043 i lp=1</v>
      </c>
      <c r="AJ4" s="25" t="str">
        <f t="shared" si="1"/>
        <v>rokprognozy=2044 i lp=1</v>
      </c>
      <c r="AK4" s="25" t="str">
        <f t="shared" si="1"/>
        <v>rokprognozy=2045 i lp=1</v>
      </c>
      <c r="AL4" s="25" t="str">
        <f t="shared" si="1"/>
        <v>rokprognozy=2046 i lp=1</v>
      </c>
      <c r="AM4" s="25" t="str">
        <f t="shared" si="1"/>
        <v>rokprognozy=2047 i lp=1</v>
      </c>
      <c r="AN4" s="25" t="str">
        <f t="shared" si="1"/>
        <v>rokprognozy=2048 i lp=1</v>
      </c>
      <c r="AO4" s="25" t="str">
        <f t="shared" si="1"/>
        <v>rokprognozy=2049 i lp=1</v>
      </c>
      <c r="AP4" s="25" t="str">
        <f t="shared" si="1"/>
        <v>rokprognozy=2050 i lp=1</v>
      </c>
    </row>
    <row r="5" spans="1:42" ht="14.25" customHeight="1">
      <c r="A5" s="7">
        <v>2</v>
      </c>
      <c r="B5" s="39" t="s">
        <v>94</v>
      </c>
      <c r="C5" s="2" t="s">
        <v>95</v>
      </c>
      <c r="D5" s="25" t="str">
        <f t="shared" ref="D5:L30" si="2">+"rokprognozy="&amp;D$3&amp;" i lp="&amp;$A5</f>
        <v>rokprognozy=2012 i lp=2</v>
      </c>
      <c r="E5" s="25" t="str">
        <f t="shared" si="2"/>
        <v>rokprognozy=2013 i lp=2</v>
      </c>
      <c r="F5" s="25" t="str">
        <f t="shared" si="2"/>
        <v>rokprognozy=2014 i lp=2</v>
      </c>
      <c r="G5" s="25" t="str">
        <f t="shared" si="2"/>
        <v>rokprognozy=2015 i lp=2</v>
      </c>
      <c r="H5" s="25" t="str">
        <f t="shared" si="2"/>
        <v>rokprognozy=2016 i lp=2</v>
      </c>
      <c r="I5" s="25" t="str">
        <f t="shared" si="2"/>
        <v>rokprognozy=2017 i lp=2</v>
      </c>
      <c r="J5" s="25" t="str">
        <f t="shared" si="2"/>
        <v>rokprognozy=2018 i lp=2</v>
      </c>
      <c r="K5" s="25" t="str">
        <f t="shared" si="2"/>
        <v>rokprognozy=2019 i lp=2</v>
      </c>
      <c r="L5" s="25" t="str">
        <f t="shared" si="2"/>
        <v>rokprognozy=2020 i lp=2</v>
      </c>
      <c r="M5" s="25" t="str">
        <f t="shared" si="0"/>
        <v>rokprognozy=2021 i lp=2</v>
      </c>
      <c r="N5" s="25" t="str">
        <f t="shared" si="0"/>
        <v>rokprognozy=2022 i lp=2</v>
      </c>
      <c r="O5" s="25" t="str">
        <f t="shared" si="0"/>
        <v>rokprognozy=2023 i lp=2</v>
      </c>
      <c r="P5" s="25" t="str">
        <f t="shared" si="0"/>
        <v>rokprognozy=2024 i lp=2</v>
      </c>
      <c r="Q5" s="25" t="str">
        <f t="shared" si="0"/>
        <v>rokprognozy=2025 i lp=2</v>
      </c>
      <c r="R5" s="25" t="str">
        <f t="shared" si="0"/>
        <v>rokprognozy=2026 i lp=2</v>
      </c>
      <c r="S5" s="25" t="str">
        <f t="shared" si="0"/>
        <v>rokprognozy=2027 i lp=2</v>
      </c>
      <c r="T5" s="25" t="str">
        <f t="shared" si="0"/>
        <v>rokprognozy=2028 i lp=2</v>
      </c>
      <c r="U5" s="25" t="str">
        <f t="shared" si="0"/>
        <v>rokprognozy=2029 i lp=2</v>
      </c>
      <c r="V5" s="25" t="str">
        <f t="shared" si="0"/>
        <v>rokprognozy=2030 i lp=2</v>
      </c>
      <c r="W5" s="25" t="str">
        <f t="shared" si="0"/>
        <v>rokprognozy=2031 i lp=2</v>
      </c>
      <c r="X5" s="25" t="str">
        <f t="shared" si="0"/>
        <v>rokprognozy=2032 i lp=2</v>
      </c>
      <c r="Y5" s="25" t="str">
        <f t="shared" si="0"/>
        <v>rokprognozy=2033 i lp=2</v>
      </c>
      <c r="Z5" s="25" t="str">
        <f t="shared" si="0"/>
        <v>rokprognozy=2034 i lp=2</v>
      </c>
      <c r="AA5" s="25" t="str">
        <f t="shared" si="0"/>
        <v>rokprognozy=2035 i lp=2</v>
      </c>
      <c r="AB5" s="25" t="str">
        <f t="shared" si="0"/>
        <v>rokprognozy=2036 i lp=2</v>
      </c>
      <c r="AC5" s="25" t="str">
        <f t="shared" si="0"/>
        <v>rokprognozy=2037 i lp=2</v>
      </c>
      <c r="AD5" s="25" t="str">
        <f t="shared" si="0"/>
        <v>rokprognozy=2038 i lp=2</v>
      </c>
      <c r="AE5" s="25" t="str">
        <f t="shared" si="0"/>
        <v>rokprognozy=2039 i lp=2</v>
      </c>
      <c r="AF5" s="25" t="str">
        <f t="shared" si="0"/>
        <v>rokprognozy=2040 i lp=2</v>
      </c>
      <c r="AG5" s="25" t="str">
        <f t="shared" si="1"/>
        <v>rokprognozy=2041 i lp=2</v>
      </c>
      <c r="AH5" s="25" t="str">
        <f t="shared" si="1"/>
        <v>rokprognozy=2042 i lp=2</v>
      </c>
      <c r="AI5" s="25" t="str">
        <f t="shared" si="1"/>
        <v>rokprognozy=2043 i lp=2</v>
      </c>
      <c r="AJ5" s="25" t="str">
        <f t="shared" si="1"/>
        <v>rokprognozy=2044 i lp=2</v>
      </c>
      <c r="AK5" s="25" t="str">
        <f t="shared" si="1"/>
        <v>rokprognozy=2045 i lp=2</v>
      </c>
      <c r="AL5" s="25" t="str">
        <f t="shared" si="1"/>
        <v>rokprognozy=2046 i lp=2</v>
      </c>
      <c r="AM5" s="25" t="str">
        <f t="shared" si="1"/>
        <v>rokprognozy=2047 i lp=2</v>
      </c>
      <c r="AN5" s="25" t="str">
        <f t="shared" si="1"/>
        <v>rokprognozy=2048 i lp=2</v>
      </c>
      <c r="AO5" s="25" t="str">
        <f t="shared" si="1"/>
        <v>rokprognozy=2049 i lp=2</v>
      </c>
      <c r="AP5" s="25" t="str">
        <f t="shared" si="1"/>
        <v>rokprognozy=2050 i lp=2</v>
      </c>
    </row>
    <row r="6" spans="1:42" ht="14.25" customHeight="1">
      <c r="A6" s="7">
        <v>3</v>
      </c>
      <c r="B6" s="39" t="s">
        <v>96</v>
      </c>
      <c r="C6" s="2" t="s">
        <v>97</v>
      </c>
      <c r="D6" s="25" t="str">
        <f t="shared" si="2"/>
        <v>rokprognozy=2012 i lp=3</v>
      </c>
      <c r="E6" s="25" t="str">
        <f t="shared" si="2"/>
        <v>rokprognozy=2013 i lp=3</v>
      </c>
      <c r="F6" s="25" t="str">
        <f t="shared" si="2"/>
        <v>rokprognozy=2014 i lp=3</v>
      </c>
      <c r="G6" s="25" t="str">
        <f t="shared" si="2"/>
        <v>rokprognozy=2015 i lp=3</v>
      </c>
      <c r="H6" s="25" t="str">
        <f t="shared" si="2"/>
        <v>rokprognozy=2016 i lp=3</v>
      </c>
      <c r="I6" s="25" t="str">
        <f t="shared" si="2"/>
        <v>rokprognozy=2017 i lp=3</v>
      </c>
      <c r="J6" s="25" t="str">
        <f t="shared" si="2"/>
        <v>rokprognozy=2018 i lp=3</v>
      </c>
      <c r="K6" s="25" t="str">
        <f t="shared" si="2"/>
        <v>rokprognozy=2019 i lp=3</v>
      </c>
      <c r="L6" s="25" t="str">
        <f t="shared" si="2"/>
        <v>rokprognozy=2020 i lp=3</v>
      </c>
      <c r="M6" s="25" t="str">
        <f t="shared" si="0"/>
        <v>rokprognozy=2021 i lp=3</v>
      </c>
      <c r="N6" s="25" t="str">
        <f t="shared" si="0"/>
        <v>rokprognozy=2022 i lp=3</v>
      </c>
      <c r="O6" s="25" t="str">
        <f t="shared" si="0"/>
        <v>rokprognozy=2023 i lp=3</v>
      </c>
      <c r="P6" s="25" t="str">
        <f t="shared" si="0"/>
        <v>rokprognozy=2024 i lp=3</v>
      </c>
      <c r="Q6" s="25" t="str">
        <f t="shared" si="0"/>
        <v>rokprognozy=2025 i lp=3</v>
      </c>
      <c r="R6" s="25" t="str">
        <f t="shared" si="0"/>
        <v>rokprognozy=2026 i lp=3</v>
      </c>
      <c r="S6" s="25" t="str">
        <f t="shared" si="0"/>
        <v>rokprognozy=2027 i lp=3</v>
      </c>
      <c r="T6" s="25" t="str">
        <f t="shared" si="0"/>
        <v>rokprognozy=2028 i lp=3</v>
      </c>
      <c r="U6" s="25" t="str">
        <f t="shared" si="0"/>
        <v>rokprognozy=2029 i lp=3</v>
      </c>
      <c r="V6" s="25" t="str">
        <f t="shared" si="0"/>
        <v>rokprognozy=2030 i lp=3</v>
      </c>
      <c r="W6" s="25" t="str">
        <f t="shared" si="0"/>
        <v>rokprognozy=2031 i lp=3</v>
      </c>
      <c r="X6" s="25" t="str">
        <f t="shared" si="0"/>
        <v>rokprognozy=2032 i lp=3</v>
      </c>
      <c r="Y6" s="25" t="str">
        <f t="shared" si="0"/>
        <v>rokprognozy=2033 i lp=3</v>
      </c>
      <c r="Z6" s="25" t="str">
        <f t="shared" si="0"/>
        <v>rokprognozy=2034 i lp=3</v>
      </c>
      <c r="AA6" s="25" t="str">
        <f t="shared" si="0"/>
        <v>rokprognozy=2035 i lp=3</v>
      </c>
      <c r="AB6" s="25" t="str">
        <f t="shared" si="0"/>
        <v>rokprognozy=2036 i lp=3</v>
      </c>
      <c r="AC6" s="25" t="str">
        <f t="shared" si="0"/>
        <v>rokprognozy=2037 i lp=3</v>
      </c>
      <c r="AD6" s="25" t="str">
        <f t="shared" si="0"/>
        <v>rokprognozy=2038 i lp=3</v>
      </c>
      <c r="AE6" s="25" t="str">
        <f t="shared" si="0"/>
        <v>rokprognozy=2039 i lp=3</v>
      </c>
      <c r="AF6" s="25" t="str">
        <f t="shared" si="0"/>
        <v>rokprognozy=2040 i lp=3</v>
      </c>
      <c r="AG6" s="25" t="str">
        <f t="shared" si="1"/>
        <v>rokprognozy=2041 i lp=3</v>
      </c>
      <c r="AH6" s="25" t="str">
        <f t="shared" si="1"/>
        <v>rokprognozy=2042 i lp=3</v>
      </c>
      <c r="AI6" s="25" t="str">
        <f t="shared" si="1"/>
        <v>rokprognozy=2043 i lp=3</v>
      </c>
      <c r="AJ6" s="25" t="str">
        <f t="shared" si="1"/>
        <v>rokprognozy=2044 i lp=3</v>
      </c>
      <c r="AK6" s="25" t="str">
        <f t="shared" si="1"/>
        <v>rokprognozy=2045 i lp=3</v>
      </c>
      <c r="AL6" s="25" t="str">
        <f t="shared" si="1"/>
        <v>rokprognozy=2046 i lp=3</v>
      </c>
      <c r="AM6" s="25" t="str">
        <f t="shared" si="1"/>
        <v>rokprognozy=2047 i lp=3</v>
      </c>
      <c r="AN6" s="25" t="str">
        <f t="shared" si="1"/>
        <v>rokprognozy=2048 i lp=3</v>
      </c>
      <c r="AO6" s="25" t="str">
        <f t="shared" si="1"/>
        <v>rokprognozy=2049 i lp=3</v>
      </c>
      <c r="AP6" s="25" t="str">
        <f t="shared" si="1"/>
        <v>rokprognozy=2050 i lp=3</v>
      </c>
    </row>
    <row r="7" spans="1:42">
      <c r="A7" s="7">
        <v>4</v>
      </c>
      <c r="B7" s="39" t="s">
        <v>98</v>
      </c>
      <c r="C7" s="3" t="s">
        <v>99</v>
      </c>
      <c r="D7" s="25" t="str">
        <f t="shared" si="2"/>
        <v>rokprognozy=2012 i lp=4</v>
      </c>
      <c r="E7" s="25" t="str">
        <f t="shared" si="2"/>
        <v>rokprognozy=2013 i lp=4</v>
      </c>
      <c r="F7" s="25" t="str">
        <f t="shared" si="2"/>
        <v>rokprognozy=2014 i lp=4</v>
      </c>
      <c r="G7" s="25" t="str">
        <f t="shared" si="2"/>
        <v>rokprognozy=2015 i lp=4</v>
      </c>
      <c r="H7" s="25" t="str">
        <f t="shared" si="2"/>
        <v>rokprognozy=2016 i lp=4</v>
      </c>
      <c r="I7" s="25" t="str">
        <f t="shared" si="2"/>
        <v>rokprognozy=2017 i lp=4</v>
      </c>
      <c r="J7" s="25" t="str">
        <f t="shared" si="2"/>
        <v>rokprognozy=2018 i lp=4</v>
      </c>
      <c r="K7" s="25" t="str">
        <f t="shared" si="2"/>
        <v>rokprognozy=2019 i lp=4</v>
      </c>
      <c r="L7" s="25" t="str">
        <f t="shared" si="2"/>
        <v>rokprognozy=2020 i lp=4</v>
      </c>
      <c r="M7" s="25" t="str">
        <f t="shared" si="0"/>
        <v>rokprognozy=2021 i lp=4</v>
      </c>
      <c r="N7" s="25" t="str">
        <f t="shared" si="0"/>
        <v>rokprognozy=2022 i lp=4</v>
      </c>
      <c r="O7" s="25" t="str">
        <f t="shared" si="0"/>
        <v>rokprognozy=2023 i lp=4</v>
      </c>
      <c r="P7" s="25" t="str">
        <f t="shared" si="0"/>
        <v>rokprognozy=2024 i lp=4</v>
      </c>
      <c r="Q7" s="25" t="str">
        <f t="shared" si="0"/>
        <v>rokprognozy=2025 i lp=4</v>
      </c>
      <c r="R7" s="25" t="str">
        <f t="shared" si="0"/>
        <v>rokprognozy=2026 i lp=4</v>
      </c>
      <c r="S7" s="25" t="str">
        <f t="shared" si="0"/>
        <v>rokprognozy=2027 i lp=4</v>
      </c>
      <c r="T7" s="25" t="str">
        <f t="shared" si="0"/>
        <v>rokprognozy=2028 i lp=4</v>
      </c>
      <c r="U7" s="25" t="str">
        <f t="shared" si="0"/>
        <v>rokprognozy=2029 i lp=4</v>
      </c>
      <c r="V7" s="25" t="str">
        <f t="shared" si="0"/>
        <v>rokprognozy=2030 i lp=4</v>
      </c>
      <c r="W7" s="25" t="str">
        <f t="shared" si="0"/>
        <v>rokprognozy=2031 i lp=4</v>
      </c>
      <c r="X7" s="25" t="str">
        <f t="shared" si="0"/>
        <v>rokprognozy=2032 i lp=4</v>
      </c>
      <c r="Y7" s="25" t="str">
        <f t="shared" si="0"/>
        <v>rokprognozy=2033 i lp=4</v>
      </c>
      <c r="Z7" s="25" t="str">
        <f t="shared" si="0"/>
        <v>rokprognozy=2034 i lp=4</v>
      </c>
      <c r="AA7" s="25" t="str">
        <f t="shared" si="0"/>
        <v>rokprognozy=2035 i lp=4</v>
      </c>
      <c r="AB7" s="25" t="str">
        <f t="shared" si="0"/>
        <v>rokprognozy=2036 i lp=4</v>
      </c>
      <c r="AC7" s="25" t="str">
        <f t="shared" si="0"/>
        <v>rokprognozy=2037 i lp=4</v>
      </c>
      <c r="AD7" s="25" t="str">
        <f t="shared" si="0"/>
        <v>rokprognozy=2038 i lp=4</v>
      </c>
      <c r="AE7" s="25" t="str">
        <f t="shared" si="0"/>
        <v>rokprognozy=2039 i lp=4</v>
      </c>
      <c r="AF7" s="25" t="str">
        <f t="shared" si="0"/>
        <v>rokprognozy=2040 i lp=4</v>
      </c>
      <c r="AG7" s="25" t="str">
        <f t="shared" si="1"/>
        <v>rokprognozy=2041 i lp=4</v>
      </c>
      <c r="AH7" s="25" t="str">
        <f t="shared" si="1"/>
        <v>rokprognozy=2042 i lp=4</v>
      </c>
      <c r="AI7" s="25" t="str">
        <f t="shared" si="1"/>
        <v>rokprognozy=2043 i lp=4</v>
      </c>
      <c r="AJ7" s="25" t="str">
        <f t="shared" si="1"/>
        <v>rokprognozy=2044 i lp=4</v>
      </c>
      <c r="AK7" s="25" t="str">
        <f t="shared" si="1"/>
        <v>rokprognozy=2045 i lp=4</v>
      </c>
      <c r="AL7" s="25" t="str">
        <f t="shared" si="1"/>
        <v>rokprognozy=2046 i lp=4</v>
      </c>
      <c r="AM7" s="25" t="str">
        <f t="shared" si="1"/>
        <v>rokprognozy=2047 i lp=4</v>
      </c>
      <c r="AN7" s="25" t="str">
        <f t="shared" si="1"/>
        <v>rokprognozy=2048 i lp=4</v>
      </c>
      <c r="AO7" s="25" t="str">
        <f t="shared" si="1"/>
        <v>rokprognozy=2049 i lp=4</v>
      </c>
      <c r="AP7" s="25" t="str">
        <f t="shared" si="1"/>
        <v>rokprognozy=2050 i lp=4</v>
      </c>
    </row>
    <row r="8" spans="1:42" ht="14.25" customHeight="1">
      <c r="A8" s="8">
        <v>5</v>
      </c>
      <c r="B8" s="39" t="s">
        <v>100</v>
      </c>
      <c r="C8" s="48" t="s">
        <v>101</v>
      </c>
      <c r="D8" s="25" t="str">
        <f t="shared" si="2"/>
        <v>rokprognozy=2012 i lp=5</v>
      </c>
      <c r="E8" s="25" t="str">
        <f t="shared" si="2"/>
        <v>rokprognozy=2013 i lp=5</v>
      </c>
      <c r="F8" s="25" t="str">
        <f t="shared" si="2"/>
        <v>rokprognozy=2014 i lp=5</v>
      </c>
      <c r="G8" s="25" t="str">
        <f t="shared" si="2"/>
        <v>rokprognozy=2015 i lp=5</v>
      </c>
      <c r="H8" s="25" t="str">
        <f t="shared" si="2"/>
        <v>rokprognozy=2016 i lp=5</v>
      </c>
      <c r="I8" s="25" t="str">
        <f t="shared" si="2"/>
        <v>rokprognozy=2017 i lp=5</v>
      </c>
      <c r="J8" s="25" t="str">
        <f t="shared" si="2"/>
        <v>rokprognozy=2018 i lp=5</v>
      </c>
      <c r="K8" s="25" t="str">
        <f t="shared" si="2"/>
        <v>rokprognozy=2019 i lp=5</v>
      </c>
      <c r="L8" s="25" t="str">
        <f t="shared" si="2"/>
        <v>rokprognozy=2020 i lp=5</v>
      </c>
      <c r="M8" s="25" t="str">
        <f t="shared" si="0"/>
        <v>rokprognozy=2021 i lp=5</v>
      </c>
      <c r="N8" s="25" t="str">
        <f t="shared" si="0"/>
        <v>rokprognozy=2022 i lp=5</v>
      </c>
      <c r="O8" s="25" t="str">
        <f t="shared" si="0"/>
        <v>rokprognozy=2023 i lp=5</v>
      </c>
      <c r="P8" s="25" t="str">
        <f t="shared" si="0"/>
        <v>rokprognozy=2024 i lp=5</v>
      </c>
      <c r="Q8" s="25" t="str">
        <f t="shared" si="0"/>
        <v>rokprognozy=2025 i lp=5</v>
      </c>
      <c r="R8" s="25" t="str">
        <f t="shared" si="0"/>
        <v>rokprognozy=2026 i lp=5</v>
      </c>
      <c r="S8" s="25" t="str">
        <f t="shared" si="0"/>
        <v>rokprognozy=2027 i lp=5</v>
      </c>
      <c r="T8" s="25" t="str">
        <f t="shared" si="0"/>
        <v>rokprognozy=2028 i lp=5</v>
      </c>
      <c r="U8" s="25" t="str">
        <f t="shared" si="0"/>
        <v>rokprognozy=2029 i lp=5</v>
      </c>
      <c r="V8" s="25" t="str">
        <f t="shared" si="0"/>
        <v>rokprognozy=2030 i lp=5</v>
      </c>
      <c r="W8" s="25" t="str">
        <f t="shared" si="0"/>
        <v>rokprognozy=2031 i lp=5</v>
      </c>
      <c r="X8" s="25" t="str">
        <f t="shared" si="0"/>
        <v>rokprognozy=2032 i lp=5</v>
      </c>
      <c r="Y8" s="25" t="str">
        <f t="shared" si="0"/>
        <v>rokprognozy=2033 i lp=5</v>
      </c>
      <c r="Z8" s="25" t="str">
        <f t="shared" si="0"/>
        <v>rokprognozy=2034 i lp=5</v>
      </c>
      <c r="AA8" s="25" t="str">
        <f t="shared" si="0"/>
        <v>rokprognozy=2035 i lp=5</v>
      </c>
      <c r="AB8" s="25" t="str">
        <f t="shared" si="0"/>
        <v>rokprognozy=2036 i lp=5</v>
      </c>
      <c r="AC8" s="25" t="str">
        <f t="shared" si="0"/>
        <v>rokprognozy=2037 i lp=5</v>
      </c>
      <c r="AD8" s="25" t="str">
        <f t="shared" si="0"/>
        <v>rokprognozy=2038 i lp=5</v>
      </c>
      <c r="AE8" s="25" t="str">
        <f t="shared" si="0"/>
        <v>rokprognozy=2039 i lp=5</v>
      </c>
      <c r="AF8" s="25" t="str">
        <f t="shared" si="0"/>
        <v>rokprognozy=2040 i lp=5</v>
      </c>
      <c r="AG8" s="25" t="str">
        <f t="shared" si="1"/>
        <v>rokprognozy=2041 i lp=5</v>
      </c>
      <c r="AH8" s="25" t="str">
        <f t="shared" si="1"/>
        <v>rokprognozy=2042 i lp=5</v>
      </c>
      <c r="AI8" s="25" t="str">
        <f t="shared" si="1"/>
        <v>rokprognozy=2043 i lp=5</v>
      </c>
      <c r="AJ8" s="25" t="str">
        <f t="shared" si="1"/>
        <v>rokprognozy=2044 i lp=5</v>
      </c>
      <c r="AK8" s="25" t="str">
        <f t="shared" si="1"/>
        <v>rokprognozy=2045 i lp=5</v>
      </c>
      <c r="AL8" s="25" t="str">
        <f t="shared" si="1"/>
        <v>rokprognozy=2046 i lp=5</v>
      </c>
      <c r="AM8" s="25" t="str">
        <f t="shared" si="1"/>
        <v>rokprognozy=2047 i lp=5</v>
      </c>
      <c r="AN8" s="25" t="str">
        <f t="shared" si="1"/>
        <v>rokprognozy=2048 i lp=5</v>
      </c>
      <c r="AO8" s="25" t="str">
        <f t="shared" si="1"/>
        <v>rokprognozy=2049 i lp=5</v>
      </c>
      <c r="AP8" s="25" t="str">
        <f t="shared" si="1"/>
        <v>rokprognozy=2050 i lp=5</v>
      </c>
    </row>
    <row r="9" spans="1:42" ht="14.25" customHeight="1">
      <c r="A9" s="7">
        <v>6</v>
      </c>
      <c r="B9" s="39" t="s">
        <v>102</v>
      </c>
      <c r="C9" s="2" t="s">
        <v>103</v>
      </c>
      <c r="D9" s="25" t="str">
        <f t="shared" si="2"/>
        <v>rokprognozy=2012 i lp=6</v>
      </c>
      <c r="E9" s="25" t="str">
        <f t="shared" si="2"/>
        <v>rokprognozy=2013 i lp=6</v>
      </c>
      <c r="F9" s="25" t="str">
        <f t="shared" si="2"/>
        <v>rokprognozy=2014 i lp=6</v>
      </c>
      <c r="G9" s="25" t="str">
        <f t="shared" si="2"/>
        <v>rokprognozy=2015 i lp=6</v>
      </c>
      <c r="H9" s="25" t="str">
        <f t="shared" si="2"/>
        <v>rokprognozy=2016 i lp=6</v>
      </c>
      <c r="I9" s="25" t="str">
        <f t="shared" si="2"/>
        <v>rokprognozy=2017 i lp=6</v>
      </c>
      <c r="J9" s="25" t="str">
        <f t="shared" si="2"/>
        <v>rokprognozy=2018 i lp=6</v>
      </c>
      <c r="K9" s="25" t="str">
        <f t="shared" si="2"/>
        <v>rokprognozy=2019 i lp=6</v>
      </c>
      <c r="L9" s="25" t="str">
        <f t="shared" si="2"/>
        <v>rokprognozy=2020 i lp=6</v>
      </c>
      <c r="M9" s="25" t="str">
        <f t="shared" si="0"/>
        <v>rokprognozy=2021 i lp=6</v>
      </c>
      <c r="N9" s="25" t="str">
        <f t="shared" si="0"/>
        <v>rokprognozy=2022 i lp=6</v>
      </c>
      <c r="O9" s="25" t="str">
        <f t="shared" si="0"/>
        <v>rokprognozy=2023 i lp=6</v>
      </c>
      <c r="P9" s="25" t="str">
        <f t="shared" si="0"/>
        <v>rokprognozy=2024 i lp=6</v>
      </c>
      <c r="Q9" s="25" t="str">
        <f t="shared" si="0"/>
        <v>rokprognozy=2025 i lp=6</v>
      </c>
      <c r="R9" s="25" t="str">
        <f t="shared" si="0"/>
        <v>rokprognozy=2026 i lp=6</v>
      </c>
      <c r="S9" s="25" t="str">
        <f t="shared" si="0"/>
        <v>rokprognozy=2027 i lp=6</v>
      </c>
      <c r="T9" s="25" t="str">
        <f t="shared" si="0"/>
        <v>rokprognozy=2028 i lp=6</v>
      </c>
      <c r="U9" s="25" t="str">
        <f t="shared" si="0"/>
        <v>rokprognozy=2029 i lp=6</v>
      </c>
      <c r="V9" s="25" t="str">
        <f t="shared" si="0"/>
        <v>rokprognozy=2030 i lp=6</v>
      </c>
      <c r="W9" s="25" t="str">
        <f t="shared" si="0"/>
        <v>rokprognozy=2031 i lp=6</v>
      </c>
      <c r="X9" s="25" t="str">
        <f t="shared" si="0"/>
        <v>rokprognozy=2032 i lp=6</v>
      </c>
      <c r="Y9" s="25" t="str">
        <f t="shared" si="0"/>
        <v>rokprognozy=2033 i lp=6</v>
      </c>
      <c r="Z9" s="25" t="str">
        <f t="shared" si="0"/>
        <v>rokprognozy=2034 i lp=6</v>
      </c>
      <c r="AA9" s="25" t="str">
        <f t="shared" si="0"/>
        <v>rokprognozy=2035 i lp=6</v>
      </c>
      <c r="AB9" s="25" t="str">
        <f t="shared" si="0"/>
        <v>rokprognozy=2036 i lp=6</v>
      </c>
      <c r="AC9" s="25" t="str">
        <f t="shared" si="0"/>
        <v>rokprognozy=2037 i lp=6</v>
      </c>
      <c r="AD9" s="25" t="str">
        <f t="shared" si="0"/>
        <v>rokprognozy=2038 i lp=6</v>
      </c>
      <c r="AE9" s="25" t="str">
        <f t="shared" si="0"/>
        <v>rokprognozy=2039 i lp=6</v>
      </c>
      <c r="AF9" s="25" t="str">
        <f t="shared" si="0"/>
        <v>rokprognozy=2040 i lp=6</v>
      </c>
      <c r="AG9" s="25" t="str">
        <f t="shared" si="1"/>
        <v>rokprognozy=2041 i lp=6</v>
      </c>
      <c r="AH9" s="25" t="str">
        <f t="shared" si="1"/>
        <v>rokprognozy=2042 i lp=6</v>
      </c>
      <c r="AI9" s="25" t="str">
        <f t="shared" si="1"/>
        <v>rokprognozy=2043 i lp=6</v>
      </c>
      <c r="AJ9" s="25" t="str">
        <f t="shared" si="1"/>
        <v>rokprognozy=2044 i lp=6</v>
      </c>
      <c r="AK9" s="25" t="str">
        <f t="shared" si="1"/>
        <v>rokprognozy=2045 i lp=6</v>
      </c>
      <c r="AL9" s="25" t="str">
        <f t="shared" si="1"/>
        <v>rokprognozy=2046 i lp=6</v>
      </c>
      <c r="AM9" s="25" t="str">
        <f t="shared" si="1"/>
        <v>rokprognozy=2047 i lp=6</v>
      </c>
      <c r="AN9" s="25" t="str">
        <f t="shared" si="1"/>
        <v>rokprognozy=2048 i lp=6</v>
      </c>
      <c r="AO9" s="25" t="str">
        <f t="shared" si="1"/>
        <v>rokprognozy=2049 i lp=6</v>
      </c>
      <c r="AP9" s="25" t="str">
        <f t="shared" si="1"/>
        <v>rokprognozy=2050 i lp=6</v>
      </c>
    </row>
    <row r="10" spans="1:42" ht="14.25" customHeight="1">
      <c r="A10" s="7">
        <v>7</v>
      </c>
      <c r="B10" s="39">
        <v>2</v>
      </c>
      <c r="C10" s="2" t="s">
        <v>3</v>
      </c>
      <c r="D10" s="25" t="str">
        <f t="shared" si="2"/>
        <v>rokprognozy=2012 i lp=7</v>
      </c>
      <c r="E10" s="25" t="str">
        <f t="shared" si="2"/>
        <v>rokprognozy=2013 i lp=7</v>
      </c>
      <c r="F10" s="25" t="str">
        <f t="shared" si="2"/>
        <v>rokprognozy=2014 i lp=7</v>
      </c>
      <c r="G10" s="25" t="str">
        <f t="shared" si="2"/>
        <v>rokprognozy=2015 i lp=7</v>
      </c>
      <c r="H10" s="25" t="str">
        <f t="shared" si="2"/>
        <v>rokprognozy=2016 i lp=7</v>
      </c>
      <c r="I10" s="25" t="str">
        <f t="shared" si="2"/>
        <v>rokprognozy=2017 i lp=7</v>
      </c>
      <c r="J10" s="25" t="str">
        <f t="shared" si="2"/>
        <v>rokprognozy=2018 i lp=7</v>
      </c>
      <c r="K10" s="25" t="str">
        <f t="shared" si="2"/>
        <v>rokprognozy=2019 i lp=7</v>
      </c>
      <c r="L10" s="25" t="str">
        <f t="shared" si="2"/>
        <v>rokprognozy=2020 i lp=7</v>
      </c>
      <c r="M10" s="25" t="str">
        <f t="shared" si="0"/>
        <v>rokprognozy=2021 i lp=7</v>
      </c>
      <c r="N10" s="25" t="str">
        <f t="shared" si="0"/>
        <v>rokprognozy=2022 i lp=7</v>
      </c>
      <c r="O10" s="25" t="str">
        <f t="shared" si="0"/>
        <v>rokprognozy=2023 i lp=7</v>
      </c>
      <c r="P10" s="25" t="str">
        <f t="shared" si="0"/>
        <v>rokprognozy=2024 i lp=7</v>
      </c>
      <c r="Q10" s="25" t="str">
        <f t="shared" si="0"/>
        <v>rokprognozy=2025 i lp=7</v>
      </c>
      <c r="R10" s="25" t="str">
        <f t="shared" si="0"/>
        <v>rokprognozy=2026 i lp=7</v>
      </c>
      <c r="S10" s="25" t="str">
        <f t="shared" si="0"/>
        <v>rokprognozy=2027 i lp=7</v>
      </c>
      <c r="T10" s="25" t="str">
        <f t="shared" si="0"/>
        <v>rokprognozy=2028 i lp=7</v>
      </c>
      <c r="U10" s="25" t="str">
        <f t="shared" si="0"/>
        <v>rokprognozy=2029 i lp=7</v>
      </c>
      <c r="V10" s="25" t="str">
        <f t="shared" si="0"/>
        <v>rokprognozy=2030 i lp=7</v>
      </c>
      <c r="W10" s="25" t="str">
        <f t="shared" si="0"/>
        <v>rokprognozy=2031 i lp=7</v>
      </c>
      <c r="X10" s="25" t="str">
        <f t="shared" si="0"/>
        <v>rokprognozy=2032 i lp=7</v>
      </c>
      <c r="Y10" s="25" t="str">
        <f t="shared" si="0"/>
        <v>rokprognozy=2033 i lp=7</v>
      </c>
      <c r="Z10" s="25" t="str">
        <f t="shared" si="0"/>
        <v>rokprognozy=2034 i lp=7</v>
      </c>
      <c r="AA10" s="25" t="str">
        <f t="shared" si="0"/>
        <v>rokprognozy=2035 i lp=7</v>
      </c>
      <c r="AB10" s="25" t="str">
        <f t="shared" si="0"/>
        <v>rokprognozy=2036 i lp=7</v>
      </c>
      <c r="AC10" s="25" t="str">
        <f t="shared" si="0"/>
        <v>rokprognozy=2037 i lp=7</v>
      </c>
      <c r="AD10" s="25" t="str">
        <f t="shared" si="0"/>
        <v>rokprognozy=2038 i lp=7</v>
      </c>
      <c r="AE10" s="25" t="str">
        <f t="shared" si="0"/>
        <v>rokprognozy=2039 i lp=7</v>
      </c>
      <c r="AF10" s="25" t="str">
        <f t="shared" si="0"/>
        <v>rokprognozy=2040 i lp=7</v>
      </c>
      <c r="AG10" s="25" t="str">
        <f t="shared" si="1"/>
        <v>rokprognozy=2041 i lp=7</v>
      </c>
      <c r="AH10" s="25" t="str">
        <f t="shared" si="1"/>
        <v>rokprognozy=2042 i lp=7</v>
      </c>
      <c r="AI10" s="25" t="str">
        <f t="shared" si="1"/>
        <v>rokprognozy=2043 i lp=7</v>
      </c>
      <c r="AJ10" s="25" t="str">
        <f t="shared" si="1"/>
        <v>rokprognozy=2044 i lp=7</v>
      </c>
      <c r="AK10" s="25" t="str">
        <f t="shared" si="1"/>
        <v>rokprognozy=2045 i lp=7</v>
      </c>
      <c r="AL10" s="25" t="str">
        <f t="shared" si="1"/>
        <v>rokprognozy=2046 i lp=7</v>
      </c>
      <c r="AM10" s="25" t="str">
        <f t="shared" si="1"/>
        <v>rokprognozy=2047 i lp=7</v>
      </c>
      <c r="AN10" s="25" t="str">
        <f t="shared" si="1"/>
        <v>rokprognozy=2048 i lp=7</v>
      </c>
      <c r="AO10" s="25" t="str">
        <f t="shared" si="1"/>
        <v>rokprognozy=2049 i lp=7</v>
      </c>
      <c r="AP10" s="25" t="str">
        <f t="shared" si="1"/>
        <v>rokprognozy=2050 i lp=7</v>
      </c>
    </row>
    <row r="11" spans="1:42" ht="14.25" customHeight="1">
      <c r="A11" s="7">
        <v>8</v>
      </c>
      <c r="B11" s="39" t="s">
        <v>104</v>
      </c>
      <c r="C11" s="2" t="s">
        <v>105</v>
      </c>
      <c r="D11" s="25" t="str">
        <f t="shared" si="2"/>
        <v>rokprognozy=2012 i lp=8</v>
      </c>
      <c r="E11" s="25" t="str">
        <f t="shared" si="2"/>
        <v>rokprognozy=2013 i lp=8</v>
      </c>
      <c r="F11" s="25" t="str">
        <f t="shared" si="2"/>
        <v>rokprognozy=2014 i lp=8</v>
      </c>
      <c r="G11" s="25" t="str">
        <f t="shared" si="2"/>
        <v>rokprognozy=2015 i lp=8</v>
      </c>
      <c r="H11" s="25" t="str">
        <f t="shared" si="2"/>
        <v>rokprognozy=2016 i lp=8</v>
      </c>
      <c r="I11" s="25" t="str">
        <f t="shared" si="2"/>
        <v>rokprognozy=2017 i lp=8</v>
      </c>
      <c r="J11" s="25" t="str">
        <f t="shared" si="2"/>
        <v>rokprognozy=2018 i lp=8</v>
      </c>
      <c r="K11" s="25" t="str">
        <f t="shared" si="2"/>
        <v>rokprognozy=2019 i lp=8</v>
      </c>
      <c r="L11" s="25" t="str">
        <f t="shared" si="2"/>
        <v>rokprognozy=2020 i lp=8</v>
      </c>
      <c r="M11" s="25" t="str">
        <f t="shared" si="0"/>
        <v>rokprognozy=2021 i lp=8</v>
      </c>
      <c r="N11" s="25" t="str">
        <f t="shared" si="0"/>
        <v>rokprognozy=2022 i lp=8</v>
      </c>
      <c r="O11" s="25" t="str">
        <f t="shared" si="0"/>
        <v>rokprognozy=2023 i lp=8</v>
      </c>
      <c r="P11" s="25" t="str">
        <f t="shared" si="0"/>
        <v>rokprognozy=2024 i lp=8</v>
      </c>
      <c r="Q11" s="25" t="str">
        <f t="shared" si="0"/>
        <v>rokprognozy=2025 i lp=8</v>
      </c>
      <c r="R11" s="25" t="str">
        <f t="shared" si="0"/>
        <v>rokprognozy=2026 i lp=8</v>
      </c>
      <c r="S11" s="25" t="str">
        <f t="shared" si="0"/>
        <v>rokprognozy=2027 i lp=8</v>
      </c>
      <c r="T11" s="25" t="str">
        <f t="shared" si="0"/>
        <v>rokprognozy=2028 i lp=8</v>
      </c>
      <c r="U11" s="25" t="str">
        <f t="shared" si="0"/>
        <v>rokprognozy=2029 i lp=8</v>
      </c>
      <c r="V11" s="25" t="str">
        <f t="shared" si="0"/>
        <v>rokprognozy=2030 i lp=8</v>
      </c>
      <c r="W11" s="25" t="str">
        <f t="shared" si="0"/>
        <v>rokprognozy=2031 i lp=8</v>
      </c>
      <c r="X11" s="25" t="str">
        <f t="shared" si="0"/>
        <v>rokprognozy=2032 i lp=8</v>
      </c>
      <c r="Y11" s="25" t="str">
        <f t="shared" si="0"/>
        <v>rokprognozy=2033 i lp=8</v>
      </c>
      <c r="Z11" s="25" t="str">
        <f t="shared" si="0"/>
        <v>rokprognozy=2034 i lp=8</v>
      </c>
      <c r="AA11" s="25" t="str">
        <f t="shared" si="0"/>
        <v>rokprognozy=2035 i lp=8</v>
      </c>
      <c r="AB11" s="25" t="str">
        <f t="shared" si="0"/>
        <v>rokprognozy=2036 i lp=8</v>
      </c>
      <c r="AC11" s="25" t="str">
        <f t="shared" si="0"/>
        <v>rokprognozy=2037 i lp=8</v>
      </c>
      <c r="AD11" s="25" t="str">
        <f t="shared" si="0"/>
        <v>rokprognozy=2038 i lp=8</v>
      </c>
      <c r="AE11" s="25" t="str">
        <f t="shared" si="0"/>
        <v>rokprognozy=2039 i lp=8</v>
      </c>
      <c r="AF11" s="25" t="str">
        <f t="shared" si="0"/>
        <v>rokprognozy=2040 i lp=8</v>
      </c>
      <c r="AG11" s="25" t="str">
        <f t="shared" si="1"/>
        <v>rokprognozy=2041 i lp=8</v>
      </c>
      <c r="AH11" s="25" t="str">
        <f t="shared" si="1"/>
        <v>rokprognozy=2042 i lp=8</v>
      </c>
      <c r="AI11" s="25" t="str">
        <f t="shared" si="1"/>
        <v>rokprognozy=2043 i lp=8</v>
      </c>
      <c r="AJ11" s="25" t="str">
        <f t="shared" si="1"/>
        <v>rokprognozy=2044 i lp=8</v>
      </c>
      <c r="AK11" s="25" t="str">
        <f t="shared" si="1"/>
        <v>rokprognozy=2045 i lp=8</v>
      </c>
      <c r="AL11" s="25" t="str">
        <f t="shared" si="1"/>
        <v>rokprognozy=2046 i lp=8</v>
      </c>
      <c r="AM11" s="25" t="str">
        <f t="shared" si="1"/>
        <v>rokprognozy=2047 i lp=8</v>
      </c>
      <c r="AN11" s="25" t="str">
        <f t="shared" si="1"/>
        <v>rokprognozy=2048 i lp=8</v>
      </c>
      <c r="AO11" s="25" t="str">
        <f t="shared" si="1"/>
        <v>rokprognozy=2049 i lp=8</v>
      </c>
      <c r="AP11" s="25" t="str">
        <f t="shared" si="1"/>
        <v>rokprognozy=2050 i lp=8</v>
      </c>
    </row>
    <row r="12" spans="1:42">
      <c r="A12" s="7">
        <v>9</v>
      </c>
      <c r="B12" s="39" t="s">
        <v>106</v>
      </c>
      <c r="C12" s="2" t="s">
        <v>107</v>
      </c>
      <c r="D12" s="25" t="str">
        <f t="shared" si="2"/>
        <v>rokprognozy=2012 i lp=9</v>
      </c>
      <c r="E12" s="25" t="str">
        <f t="shared" si="2"/>
        <v>rokprognozy=2013 i lp=9</v>
      </c>
      <c r="F12" s="25" t="str">
        <f t="shared" si="2"/>
        <v>rokprognozy=2014 i lp=9</v>
      </c>
      <c r="G12" s="25" t="str">
        <f t="shared" si="2"/>
        <v>rokprognozy=2015 i lp=9</v>
      </c>
      <c r="H12" s="25" t="str">
        <f t="shared" si="2"/>
        <v>rokprognozy=2016 i lp=9</v>
      </c>
      <c r="I12" s="25" t="str">
        <f t="shared" si="2"/>
        <v>rokprognozy=2017 i lp=9</v>
      </c>
      <c r="J12" s="25" t="str">
        <f t="shared" si="2"/>
        <v>rokprognozy=2018 i lp=9</v>
      </c>
      <c r="K12" s="25" t="str">
        <f t="shared" si="2"/>
        <v>rokprognozy=2019 i lp=9</v>
      </c>
      <c r="L12" s="25" t="str">
        <f t="shared" si="2"/>
        <v>rokprognozy=2020 i lp=9</v>
      </c>
      <c r="M12" s="25" t="str">
        <f t="shared" si="0"/>
        <v>rokprognozy=2021 i lp=9</v>
      </c>
      <c r="N12" s="25" t="str">
        <f t="shared" si="0"/>
        <v>rokprognozy=2022 i lp=9</v>
      </c>
      <c r="O12" s="25" t="str">
        <f t="shared" si="0"/>
        <v>rokprognozy=2023 i lp=9</v>
      </c>
      <c r="P12" s="25" t="str">
        <f t="shared" si="0"/>
        <v>rokprognozy=2024 i lp=9</v>
      </c>
      <c r="Q12" s="25" t="str">
        <f t="shared" si="0"/>
        <v>rokprognozy=2025 i lp=9</v>
      </c>
      <c r="R12" s="25" t="str">
        <f t="shared" si="0"/>
        <v>rokprognozy=2026 i lp=9</v>
      </c>
      <c r="S12" s="25" t="str">
        <f t="shared" si="0"/>
        <v>rokprognozy=2027 i lp=9</v>
      </c>
      <c r="T12" s="25" t="str">
        <f t="shared" si="0"/>
        <v>rokprognozy=2028 i lp=9</v>
      </c>
      <c r="U12" s="25" t="str">
        <f t="shared" si="0"/>
        <v>rokprognozy=2029 i lp=9</v>
      </c>
      <c r="V12" s="25" t="str">
        <f t="shared" si="0"/>
        <v>rokprognozy=2030 i lp=9</v>
      </c>
      <c r="W12" s="25" t="str">
        <f t="shared" si="0"/>
        <v>rokprognozy=2031 i lp=9</v>
      </c>
      <c r="X12" s="25" t="str">
        <f t="shared" si="0"/>
        <v>rokprognozy=2032 i lp=9</v>
      </c>
      <c r="Y12" s="25" t="str">
        <f t="shared" si="0"/>
        <v>rokprognozy=2033 i lp=9</v>
      </c>
      <c r="Z12" s="25" t="str">
        <f t="shared" si="0"/>
        <v>rokprognozy=2034 i lp=9</v>
      </c>
      <c r="AA12" s="25" t="str">
        <f t="shared" si="0"/>
        <v>rokprognozy=2035 i lp=9</v>
      </c>
      <c r="AB12" s="25" t="str">
        <f t="shared" si="0"/>
        <v>rokprognozy=2036 i lp=9</v>
      </c>
      <c r="AC12" s="25" t="str">
        <f t="shared" si="0"/>
        <v>rokprognozy=2037 i lp=9</v>
      </c>
      <c r="AD12" s="25" t="str">
        <f t="shared" si="0"/>
        <v>rokprognozy=2038 i lp=9</v>
      </c>
      <c r="AE12" s="25" t="str">
        <f t="shared" si="0"/>
        <v>rokprognozy=2039 i lp=9</v>
      </c>
      <c r="AF12" s="25" t="str">
        <f t="shared" si="0"/>
        <v>rokprognozy=2040 i lp=9</v>
      </c>
      <c r="AG12" s="25" t="str">
        <f t="shared" si="1"/>
        <v>rokprognozy=2041 i lp=9</v>
      </c>
      <c r="AH12" s="25" t="str">
        <f t="shared" si="1"/>
        <v>rokprognozy=2042 i lp=9</v>
      </c>
      <c r="AI12" s="25" t="str">
        <f t="shared" si="1"/>
        <v>rokprognozy=2043 i lp=9</v>
      </c>
      <c r="AJ12" s="25" t="str">
        <f t="shared" si="1"/>
        <v>rokprognozy=2044 i lp=9</v>
      </c>
      <c r="AK12" s="25" t="str">
        <f t="shared" si="1"/>
        <v>rokprognozy=2045 i lp=9</v>
      </c>
      <c r="AL12" s="25" t="str">
        <f t="shared" si="1"/>
        <v>rokprognozy=2046 i lp=9</v>
      </c>
      <c r="AM12" s="25" t="str">
        <f t="shared" si="1"/>
        <v>rokprognozy=2047 i lp=9</v>
      </c>
      <c r="AN12" s="25" t="str">
        <f t="shared" si="1"/>
        <v>rokprognozy=2048 i lp=9</v>
      </c>
      <c r="AO12" s="25" t="str">
        <f t="shared" si="1"/>
        <v>rokprognozy=2049 i lp=9</v>
      </c>
      <c r="AP12" s="25" t="str">
        <f t="shared" si="1"/>
        <v>rokprognozy=2050 i lp=9</v>
      </c>
    </row>
    <row r="13" spans="1:42" ht="14.25" customHeight="1">
      <c r="A13" s="7">
        <v>10</v>
      </c>
      <c r="B13" s="39" t="s">
        <v>108</v>
      </c>
      <c r="C13" s="2" t="s">
        <v>109</v>
      </c>
      <c r="D13" s="25" t="str">
        <f t="shared" si="2"/>
        <v>rokprognozy=2012 i lp=10</v>
      </c>
      <c r="E13" s="25" t="str">
        <f t="shared" si="2"/>
        <v>rokprognozy=2013 i lp=10</v>
      </c>
      <c r="F13" s="25" t="str">
        <f t="shared" si="2"/>
        <v>rokprognozy=2014 i lp=10</v>
      </c>
      <c r="G13" s="25" t="str">
        <f t="shared" si="2"/>
        <v>rokprognozy=2015 i lp=10</v>
      </c>
      <c r="H13" s="25" t="str">
        <f t="shared" si="2"/>
        <v>rokprognozy=2016 i lp=10</v>
      </c>
      <c r="I13" s="25" t="str">
        <f t="shared" si="2"/>
        <v>rokprognozy=2017 i lp=10</v>
      </c>
      <c r="J13" s="25" t="str">
        <f t="shared" si="2"/>
        <v>rokprognozy=2018 i lp=10</v>
      </c>
      <c r="K13" s="25" t="str">
        <f t="shared" si="2"/>
        <v>rokprognozy=2019 i lp=10</v>
      </c>
      <c r="L13" s="25" t="str">
        <f t="shared" si="2"/>
        <v>rokprognozy=2020 i lp=10</v>
      </c>
      <c r="M13" s="25" t="str">
        <f t="shared" si="0"/>
        <v>rokprognozy=2021 i lp=10</v>
      </c>
      <c r="N13" s="25" t="str">
        <f t="shared" si="0"/>
        <v>rokprognozy=2022 i lp=10</v>
      </c>
      <c r="O13" s="25" t="str">
        <f t="shared" si="0"/>
        <v>rokprognozy=2023 i lp=10</v>
      </c>
      <c r="P13" s="25" t="str">
        <f t="shared" si="0"/>
        <v>rokprognozy=2024 i lp=10</v>
      </c>
      <c r="Q13" s="25" t="str">
        <f t="shared" si="0"/>
        <v>rokprognozy=2025 i lp=10</v>
      </c>
      <c r="R13" s="25" t="str">
        <f t="shared" si="0"/>
        <v>rokprognozy=2026 i lp=10</v>
      </c>
      <c r="S13" s="25" t="str">
        <f t="shared" si="0"/>
        <v>rokprognozy=2027 i lp=10</v>
      </c>
      <c r="T13" s="25" t="str">
        <f t="shared" si="0"/>
        <v>rokprognozy=2028 i lp=10</v>
      </c>
      <c r="U13" s="25" t="str">
        <f t="shared" si="0"/>
        <v>rokprognozy=2029 i lp=10</v>
      </c>
      <c r="V13" s="25" t="str">
        <f t="shared" si="0"/>
        <v>rokprognozy=2030 i lp=10</v>
      </c>
      <c r="W13" s="25" t="str">
        <f t="shared" si="0"/>
        <v>rokprognozy=2031 i lp=10</v>
      </c>
      <c r="X13" s="25" t="str">
        <f t="shared" si="0"/>
        <v>rokprognozy=2032 i lp=10</v>
      </c>
      <c r="Y13" s="25" t="str">
        <f t="shared" si="0"/>
        <v>rokprognozy=2033 i lp=10</v>
      </c>
      <c r="Z13" s="25" t="str">
        <f t="shared" si="0"/>
        <v>rokprognozy=2034 i lp=10</v>
      </c>
      <c r="AA13" s="25" t="str">
        <f t="shared" si="0"/>
        <v>rokprognozy=2035 i lp=10</v>
      </c>
      <c r="AB13" s="25" t="str">
        <f t="shared" si="0"/>
        <v>rokprognozy=2036 i lp=10</v>
      </c>
      <c r="AC13" s="25" t="str">
        <f t="shared" si="0"/>
        <v>rokprognozy=2037 i lp=10</v>
      </c>
      <c r="AD13" s="25" t="str">
        <f t="shared" si="0"/>
        <v>rokprognozy=2038 i lp=10</v>
      </c>
      <c r="AE13" s="25" t="str">
        <f t="shared" si="0"/>
        <v>rokprognozy=2039 i lp=10</v>
      </c>
      <c r="AF13" s="25" t="str">
        <f t="shared" si="0"/>
        <v>rokprognozy=2040 i lp=10</v>
      </c>
      <c r="AG13" s="25" t="str">
        <f t="shared" si="1"/>
        <v>rokprognozy=2041 i lp=10</v>
      </c>
      <c r="AH13" s="25" t="str">
        <f t="shared" si="1"/>
        <v>rokprognozy=2042 i lp=10</v>
      </c>
      <c r="AI13" s="25" t="str">
        <f t="shared" si="1"/>
        <v>rokprognozy=2043 i lp=10</v>
      </c>
      <c r="AJ13" s="25" t="str">
        <f t="shared" si="1"/>
        <v>rokprognozy=2044 i lp=10</v>
      </c>
      <c r="AK13" s="25" t="str">
        <f t="shared" si="1"/>
        <v>rokprognozy=2045 i lp=10</v>
      </c>
      <c r="AL13" s="25" t="str">
        <f t="shared" si="1"/>
        <v>rokprognozy=2046 i lp=10</v>
      </c>
      <c r="AM13" s="25" t="str">
        <f t="shared" si="1"/>
        <v>rokprognozy=2047 i lp=10</v>
      </c>
      <c r="AN13" s="25" t="str">
        <f t="shared" si="1"/>
        <v>rokprognozy=2048 i lp=10</v>
      </c>
      <c r="AO13" s="25" t="str">
        <f t="shared" si="1"/>
        <v>rokprognozy=2049 i lp=10</v>
      </c>
      <c r="AP13" s="25" t="str">
        <f t="shared" si="1"/>
        <v>rokprognozy=2050 i lp=10</v>
      </c>
    </row>
    <row r="14" spans="1:42" ht="14.25" customHeight="1">
      <c r="A14" s="9">
        <v>11</v>
      </c>
      <c r="B14" s="39" t="s">
        <v>110</v>
      </c>
      <c r="C14" s="52" t="s">
        <v>111</v>
      </c>
      <c r="D14" s="25" t="str">
        <f t="shared" si="2"/>
        <v>rokprognozy=2012 i lp=11</v>
      </c>
      <c r="E14" s="25" t="str">
        <f t="shared" si="2"/>
        <v>rokprognozy=2013 i lp=11</v>
      </c>
      <c r="F14" s="25" t="str">
        <f t="shared" si="2"/>
        <v>rokprognozy=2014 i lp=11</v>
      </c>
      <c r="G14" s="25" t="str">
        <f t="shared" si="2"/>
        <v>rokprognozy=2015 i lp=11</v>
      </c>
      <c r="H14" s="25" t="str">
        <f t="shared" si="2"/>
        <v>rokprognozy=2016 i lp=11</v>
      </c>
      <c r="I14" s="25" t="str">
        <f t="shared" si="2"/>
        <v>rokprognozy=2017 i lp=11</v>
      </c>
      <c r="J14" s="25" t="str">
        <f t="shared" si="2"/>
        <v>rokprognozy=2018 i lp=11</v>
      </c>
      <c r="K14" s="25" t="str">
        <f t="shared" si="2"/>
        <v>rokprognozy=2019 i lp=11</v>
      </c>
      <c r="L14" s="25" t="str">
        <f t="shared" si="2"/>
        <v>rokprognozy=2020 i lp=11</v>
      </c>
      <c r="M14" s="25" t="str">
        <f t="shared" si="0"/>
        <v>rokprognozy=2021 i lp=11</v>
      </c>
      <c r="N14" s="25" t="str">
        <f t="shared" si="0"/>
        <v>rokprognozy=2022 i lp=11</v>
      </c>
      <c r="O14" s="25" t="str">
        <f t="shared" si="0"/>
        <v>rokprognozy=2023 i lp=11</v>
      </c>
      <c r="P14" s="25" t="str">
        <f t="shared" si="0"/>
        <v>rokprognozy=2024 i lp=11</v>
      </c>
      <c r="Q14" s="25" t="str">
        <f t="shared" si="0"/>
        <v>rokprognozy=2025 i lp=11</v>
      </c>
      <c r="R14" s="25" t="str">
        <f t="shared" si="0"/>
        <v>rokprognozy=2026 i lp=11</v>
      </c>
      <c r="S14" s="25" t="str">
        <f t="shared" si="0"/>
        <v>rokprognozy=2027 i lp=11</v>
      </c>
      <c r="T14" s="25" t="str">
        <f t="shared" si="0"/>
        <v>rokprognozy=2028 i lp=11</v>
      </c>
      <c r="U14" s="25" t="str">
        <f t="shared" si="0"/>
        <v>rokprognozy=2029 i lp=11</v>
      </c>
      <c r="V14" s="25" t="str">
        <f t="shared" si="0"/>
        <v>rokprognozy=2030 i lp=11</v>
      </c>
      <c r="W14" s="25" t="str">
        <f t="shared" si="0"/>
        <v>rokprognozy=2031 i lp=11</v>
      </c>
      <c r="X14" s="25" t="str">
        <f t="shared" si="0"/>
        <v>rokprognozy=2032 i lp=11</v>
      </c>
      <c r="Y14" s="25" t="str">
        <f t="shared" si="0"/>
        <v>rokprognozy=2033 i lp=11</v>
      </c>
      <c r="Z14" s="25" t="str">
        <f t="shared" si="0"/>
        <v>rokprognozy=2034 i lp=11</v>
      </c>
      <c r="AA14" s="25" t="str">
        <f t="shared" si="0"/>
        <v>rokprognozy=2035 i lp=11</v>
      </c>
      <c r="AB14" s="25" t="str">
        <f t="shared" si="0"/>
        <v>rokprognozy=2036 i lp=11</v>
      </c>
      <c r="AC14" s="25" t="str">
        <f t="shared" si="0"/>
        <v>rokprognozy=2037 i lp=11</v>
      </c>
      <c r="AD14" s="25" t="str">
        <f t="shared" si="0"/>
        <v>rokprognozy=2038 i lp=11</v>
      </c>
      <c r="AE14" s="25" t="str">
        <f t="shared" si="0"/>
        <v>rokprognozy=2039 i lp=11</v>
      </c>
      <c r="AF14" s="25" t="str">
        <f t="shared" si="0"/>
        <v>rokprognozy=2040 i lp=11</v>
      </c>
      <c r="AG14" s="25" t="str">
        <f t="shared" si="1"/>
        <v>rokprognozy=2041 i lp=11</v>
      </c>
      <c r="AH14" s="25" t="str">
        <f t="shared" si="1"/>
        <v>rokprognozy=2042 i lp=11</v>
      </c>
      <c r="AI14" s="25" t="str">
        <f t="shared" si="1"/>
        <v>rokprognozy=2043 i lp=11</v>
      </c>
      <c r="AJ14" s="25" t="str">
        <f t="shared" si="1"/>
        <v>rokprognozy=2044 i lp=11</v>
      </c>
      <c r="AK14" s="25" t="str">
        <f t="shared" si="1"/>
        <v>rokprognozy=2045 i lp=11</v>
      </c>
      <c r="AL14" s="25" t="str">
        <f t="shared" si="1"/>
        <v>rokprognozy=2046 i lp=11</v>
      </c>
      <c r="AM14" s="25" t="str">
        <f t="shared" si="1"/>
        <v>rokprognozy=2047 i lp=11</v>
      </c>
      <c r="AN14" s="25" t="str">
        <f t="shared" si="1"/>
        <v>rokprognozy=2048 i lp=11</v>
      </c>
      <c r="AO14" s="25" t="str">
        <f t="shared" si="1"/>
        <v>rokprognozy=2049 i lp=11</v>
      </c>
      <c r="AP14" s="25" t="str">
        <f t="shared" si="1"/>
        <v>rokprognozy=2050 i lp=11</v>
      </c>
    </row>
    <row r="15" spans="1:42" ht="14.25" customHeight="1">
      <c r="A15" s="8">
        <v>12</v>
      </c>
      <c r="B15" s="39" t="s">
        <v>112</v>
      </c>
      <c r="C15" s="48" t="s">
        <v>113</v>
      </c>
      <c r="D15" s="25" t="str">
        <f t="shared" si="2"/>
        <v>rokprognozy=2012 i lp=12</v>
      </c>
      <c r="E15" s="25" t="str">
        <f t="shared" si="2"/>
        <v>rokprognozy=2013 i lp=12</v>
      </c>
      <c r="F15" s="25" t="str">
        <f t="shared" si="2"/>
        <v>rokprognozy=2014 i lp=12</v>
      </c>
      <c r="G15" s="25" t="str">
        <f t="shared" si="2"/>
        <v>rokprognozy=2015 i lp=12</v>
      </c>
      <c r="H15" s="25" t="str">
        <f t="shared" si="2"/>
        <v>rokprognozy=2016 i lp=12</v>
      </c>
      <c r="I15" s="25" t="str">
        <f t="shared" si="2"/>
        <v>rokprognozy=2017 i lp=12</v>
      </c>
      <c r="J15" s="25" t="str">
        <f t="shared" si="2"/>
        <v>rokprognozy=2018 i lp=12</v>
      </c>
      <c r="K15" s="25" t="str">
        <f t="shared" si="2"/>
        <v>rokprognozy=2019 i lp=12</v>
      </c>
      <c r="L15" s="25" t="str">
        <f t="shared" si="2"/>
        <v>rokprognozy=2020 i lp=12</v>
      </c>
      <c r="M15" s="25" t="str">
        <f t="shared" si="0"/>
        <v>rokprognozy=2021 i lp=12</v>
      </c>
      <c r="N15" s="25" t="str">
        <f t="shared" si="0"/>
        <v>rokprognozy=2022 i lp=12</v>
      </c>
      <c r="O15" s="25" t="str">
        <f t="shared" si="0"/>
        <v>rokprognozy=2023 i lp=12</v>
      </c>
      <c r="P15" s="25" t="str">
        <f t="shared" si="0"/>
        <v>rokprognozy=2024 i lp=12</v>
      </c>
      <c r="Q15" s="25" t="str">
        <f t="shared" si="0"/>
        <v>rokprognozy=2025 i lp=12</v>
      </c>
      <c r="R15" s="25" t="str">
        <f t="shared" si="0"/>
        <v>rokprognozy=2026 i lp=12</v>
      </c>
      <c r="S15" s="25" t="str">
        <f t="shared" si="0"/>
        <v>rokprognozy=2027 i lp=12</v>
      </c>
      <c r="T15" s="25" t="str">
        <f t="shared" si="0"/>
        <v>rokprognozy=2028 i lp=12</v>
      </c>
      <c r="U15" s="25" t="str">
        <f t="shared" si="0"/>
        <v>rokprognozy=2029 i lp=12</v>
      </c>
      <c r="V15" s="25" t="str">
        <f t="shared" si="0"/>
        <v>rokprognozy=2030 i lp=12</v>
      </c>
      <c r="W15" s="25" t="str">
        <f t="shared" si="0"/>
        <v>rokprognozy=2031 i lp=12</v>
      </c>
      <c r="X15" s="25" t="str">
        <f t="shared" si="0"/>
        <v>rokprognozy=2032 i lp=12</v>
      </c>
      <c r="Y15" s="25" t="str">
        <f t="shared" si="0"/>
        <v>rokprognozy=2033 i lp=12</v>
      </c>
      <c r="Z15" s="25" t="str">
        <f t="shared" si="0"/>
        <v>rokprognozy=2034 i lp=12</v>
      </c>
      <c r="AA15" s="25" t="str">
        <f t="shared" si="0"/>
        <v>rokprognozy=2035 i lp=12</v>
      </c>
      <c r="AB15" s="25" t="str">
        <f t="shared" si="0"/>
        <v>rokprognozy=2036 i lp=12</v>
      </c>
      <c r="AC15" s="25" t="str">
        <f t="shared" si="0"/>
        <v>rokprognozy=2037 i lp=12</v>
      </c>
      <c r="AD15" s="25" t="str">
        <f t="shared" si="0"/>
        <v>rokprognozy=2038 i lp=12</v>
      </c>
      <c r="AE15" s="25" t="str">
        <f t="shared" si="0"/>
        <v>rokprognozy=2039 i lp=12</v>
      </c>
      <c r="AF15" s="25" t="str">
        <f t="shared" si="0"/>
        <v>rokprognozy=2040 i lp=12</v>
      </c>
      <c r="AG15" s="25" t="str">
        <f t="shared" si="1"/>
        <v>rokprognozy=2041 i lp=12</v>
      </c>
      <c r="AH15" s="25" t="str">
        <f t="shared" si="1"/>
        <v>rokprognozy=2042 i lp=12</v>
      </c>
      <c r="AI15" s="25" t="str">
        <f t="shared" si="1"/>
        <v>rokprognozy=2043 i lp=12</v>
      </c>
      <c r="AJ15" s="25" t="str">
        <f t="shared" si="1"/>
        <v>rokprognozy=2044 i lp=12</v>
      </c>
      <c r="AK15" s="25" t="str">
        <f t="shared" si="1"/>
        <v>rokprognozy=2045 i lp=12</v>
      </c>
      <c r="AL15" s="25" t="str">
        <f t="shared" si="1"/>
        <v>rokprognozy=2046 i lp=12</v>
      </c>
      <c r="AM15" s="25" t="str">
        <f t="shared" si="1"/>
        <v>rokprognozy=2047 i lp=12</v>
      </c>
      <c r="AN15" s="25" t="str">
        <f t="shared" si="1"/>
        <v>rokprognozy=2048 i lp=12</v>
      </c>
      <c r="AO15" s="25" t="str">
        <f t="shared" si="1"/>
        <v>rokprognozy=2049 i lp=12</v>
      </c>
      <c r="AP15" s="25" t="str">
        <f t="shared" si="1"/>
        <v>rokprognozy=2050 i lp=12</v>
      </c>
    </row>
    <row r="16" spans="1:42" ht="14.25" customHeight="1">
      <c r="A16" s="7">
        <v>13</v>
      </c>
      <c r="B16" s="39" t="s">
        <v>114</v>
      </c>
      <c r="C16" s="2" t="s">
        <v>115</v>
      </c>
      <c r="D16" s="25" t="str">
        <f t="shared" si="2"/>
        <v>rokprognozy=2012 i lp=13</v>
      </c>
      <c r="E16" s="25" t="str">
        <f t="shared" si="2"/>
        <v>rokprognozy=2013 i lp=13</v>
      </c>
      <c r="F16" s="25" t="str">
        <f t="shared" si="2"/>
        <v>rokprognozy=2014 i lp=13</v>
      </c>
      <c r="G16" s="25" t="str">
        <f t="shared" si="2"/>
        <v>rokprognozy=2015 i lp=13</v>
      </c>
      <c r="H16" s="25" t="str">
        <f t="shared" si="2"/>
        <v>rokprognozy=2016 i lp=13</v>
      </c>
      <c r="I16" s="25" t="str">
        <f t="shared" si="2"/>
        <v>rokprognozy=2017 i lp=13</v>
      </c>
      <c r="J16" s="25" t="str">
        <f t="shared" si="2"/>
        <v>rokprognozy=2018 i lp=13</v>
      </c>
      <c r="K16" s="25" t="str">
        <f t="shared" si="2"/>
        <v>rokprognozy=2019 i lp=13</v>
      </c>
      <c r="L16" s="25" t="str">
        <f t="shared" si="2"/>
        <v>rokprognozy=2020 i lp=13</v>
      </c>
      <c r="M16" s="25" t="str">
        <f t="shared" si="0"/>
        <v>rokprognozy=2021 i lp=13</v>
      </c>
      <c r="N16" s="25" t="str">
        <f t="shared" si="0"/>
        <v>rokprognozy=2022 i lp=13</v>
      </c>
      <c r="O16" s="25" t="str">
        <f t="shared" si="0"/>
        <v>rokprognozy=2023 i lp=13</v>
      </c>
      <c r="P16" s="25" t="str">
        <f t="shared" si="0"/>
        <v>rokprognozy=2024 i lp=13</v>
      </c>
      <c r="Q16" s="25" t="str">
        <f t="shared" si="0"/>
        <v>rokprognozy=2025 i lp=13</v>
      </c>
      <c r="R16" s="25" t="str">
        <f t="shared" si="0"/>
        <v>rokprognozy=2026 i lp=13</v>
      </c>
      <c r="S16" s="25" t="str">
        <f t="shared" ref="S16:AP16" si="3">+"rokprognozy="&amp;S$3&amp;" i lp="&amp;$A16</f>
        <v>rokprognozy=2027 i lp=13</v>
      </c>
      <c r="T16" s="25" t="str">
        <f t="shared" si="3"/>
        <v>rokprognozy=2028 i lp=13</v>
      </c>
      <c r="U16" s="25" t="str">
        <f t="shared" si="3"/>
        <v>rokprognozy=2029 i lp=13</v>
      </c>
      <c r="V16" s="25" t="str">
        <f t="shared" si="3"/>
        <v>rokprognozy=2030 i lp=13</v>
      </c>
      <c r="W16" s="25" t="str">
        <f t="shared" si="3"/>
        <v>rokprognozy=2031 i lp=13</v>
      </c>
      <c r="X16" s="25" t="str">
        <f t="shared" si="3"/>
        <v>rokprognozy=2032 i lp=13</v>
      </c>
      <c r="Y16" s="25" t="str">
        <f t="shared" si="3"/>
        <v>rokprognozy=2033 i lp=13</v>
      </c>
      <c r="Z16" s="25" t="str">
        <f t="shared" si="3"/>
        <v>rokprognozy=2034 i lp=13</v>
      </c>
      <c r="AA16" s="25" t="str">
        <f t="shared" si="3"/>
        <v>rokprognozy=2035 i lp=13</v>
      </c>
      <c r="AB16" s="25" t="str">
        <f t="shared" si="3"/>
        <v>rokprognozy=2036 i lp=13</v>
      </c>
      <c r="AC16" s="25" t="str">
        <f t="shared" si="3"/>
        <v>rokprognozy=2037 i lp=13</v>
      </c>
      <c r="AD16" s="25" t="str">
        <f t="shared" si="3"/>
        <v>rokprognozy=2038 i lp=13</v>
      </c>
      <c r="AE16" s="25" t="str">
        <f t="shared" si="3"/>
        <v>rokprognozy=2039 i lp=13</v>
      </c>
      <c r="AF16" s="25" t="str">
        <f t="shared" si="3"/>
        <v>rokprognozy=2040 i lp=13</v>
      </c>
      <c r="AG16" s="25" t="str">
        <f t="shared" si="3"/>
        <v>rokprognozy=2041 i lp=13</v>
      </c>
      <c r="AH16" s="25" t="str">
        <f t="shared" si="3"/>
        <v>rokprognozy=2042 i lp=13</v>
      </c>
      <c r="AI16" s="25" t="str">
        <f t="shared" si="3"/>
        <v>rokprognozy=2043 i lp=13</v>
      </c>
      <c r="AJ16" s="25" t="str">
        <f t="shared" si="3"/>
        <v>rokprognozy=2044 i lp=13</v>
      </c>
      <c r="AK16" s="25" t="str">
        <f t="shared" si="3"/>
        <v>rokprognozy=2045 i lp=13</v>
      </c>
      <c r="AL16" s="25" t="str">
        <f t="shared" si="3"/>
        <v>rokprognozy=2046 i lp=13</v>
      </c>
      <c r="AM16" s="25" t="str">
        <f t="shared" si="3"/>
        <v>rokprognozy=2047 i lp=13</v>
      </c>
      <c r="AN16" s="25" t="str">
        <f t="shared" si="3"/>
        <v>rokprognozy=2048 i lp=13</v>
      </c>
      <c r="AO16" s="25" t="str">
        <f t="shared" si="3"/>
        <v>rokprognozy=2049 i lp=13</v>
      </c>
      <c r="AP16" s="25" t="str">
        <f t="shared" si="3"/>
        <v>rokprognozy=2050 i lp=13</v>
      </c>
    </row>
    <row r="17" spans="1:42" ht="14.25" customHeight="1">
      <c r="A17" s="8">
        <v>14</v>
      </c>
      <c r="B17" s="39">
        <v>3</v>
      </c>
      <c r="C17" s="48" t="s">
        <v>116</v>
      </c>
      <c r="D17" s="25" t="str">
        <f t="shared" si="2"/>
        <v>rokprognozy=2012 i lp=14</v>
      </c>
      <c r="E17" s="25" t="str">
        <f t="shared" si="2"/>
        <v>rokprognozy=2013 i lp=14</v>
      </c>
      <c r="F17" s="25" t="str">
        <f t="shared" si="2"/>
        <v>rokprognozy=2014 i lp=14</v>
      </c>
      <c r="G17" s="25" t="str">
        <f t="shared" si="2"/>
        <v>rokprognozy=2015 i lp=14</v>
      </c>
      <c r="H17" s="25" t="str">
        <f t="shared" si="2"/>
        <v>rokprognozy=2016 i lp=14</v>
      </c>
      <c r="I17" s="25" t="str">
        <f t="shared" si="2"/>
        <v>rokprognozy=2017 i lp=14</v>
      </c>
      <c r="J17" s="25" t="str">
        <f t="shared" si="2"/>
        <v>rokprognozy=2018 i lp=14</v>
      </c>
      <c r="K17" s="25" t="str">
        <f t="shared" si="2"/>
        <v>rokprognozy=2019 i lp=14</v>
      </c>
      <c r="L17" s="25" t="str">
        <f t="shared" si="2"/>
        <v>rokprognozy=2020 i lp=14</v>
      </c>
      <c r="M17" s="25" t="str">
        <f t="shared" ref="M17:AB32" si="4">+"rokprognozy="&amp;M$3&amp;" i lp="&amp;$A17</f>
        <v>rokprognozy=2021 i lp=14</v>
      </c>
      <c r="N17" s="25" t="str">
        <f t="shared" si="4"/>
        <v>rokprognozy=2022 i lp=14</v>
      </c>
      <c r="O17" s="25" t="str">
        <f t="shared" si="4"/>
        <v>rokprognozy=2023 i lp=14</v>
      </c>
      <c r="P17" s="25" t="str">
        <f t="shared" si="4"/>
        <v>rokprognozy=2024 i lp=14</v>
      </c>
      <c r="Q17" s="25" t="str">
        <f t="shared" si="4"/>
        <v>rokprognozy=2025 i lp=14</v>
      </c>
      <c r="R17" s="25" t="str">
        <f t="shared" si="4"/>
        <v>rokprognozy=2026 i lp=14</v>
      </c>
      <c r="S17" s="25" t="str">
        <f t="shared" si="4"/>
        <v>rokprognozy=2027 i lp=14</v>
      </c>
      <c r="T17" s="25" t="str">
        <f t="shared" si="4"/>
        <v>rokprognozy=2028 i lp=14</v>
      </c>
      <c r="U17" s="25" t="str">
        <f t="shared" si="4"/>
        <v>rokprognozy=2029 i lp=14</v>
      </c>
      <c r="V17" s="25" t="str">
        <f t="shared" si="4"/>
        <v>rokprognozy=2030 i lp=14</v>
      </c>
      <c r="W17" s="25" t="str">
        <f t="shared" si="4"/>
        <v>rokprognozy=2031 i lp=14</v>
      </c>
      <c r="X17" s="25" t="str">
        <f t="shared" si="4"/>
        <v>rokprognozy=2032 i lp=14</v>
      </c>
      <c r="Y17" s="25" t="str">
        <f t="shared" si="4"/>
        <v>rokprognozy=2033 i lp=14</v>
      </c>
      <c r="Z17" s="25" t="str">
        <f t="shared" si="4"/>
        <v>rokprognozy=2034 i lp=14</v>
      </c>
      <c r="AA17" s="25" t="str">
        <f t="shared" si="4"/>
        <v>rokprognozy=2035 i lp=14</v>
      </c>
      <c r="AB17" s="25" t="str">
        <f t="shared" si="4"/>
        <v>rokprognozy=2036 i lp=14</v>
      </c>
      <c r="AC17" s="25" t="str">
        <f t="shared" ref="AC17:AP33" si="5">+"rokprognozy="&amp;AC$3&amp;" i lp="&amp;$A17</f>
        <v>rokprognozy=2037 i lp=14</v>
      </c>
      <c r="AD17" s="25" t="str">
        <f t="shared" si="5"/>
        <v>rokprognozy=2038 i lp=14</v>
      </c>
      <c r="AE17" s="25" t="str">
        <f t="shared" si="5"/>
        <v>rokprognozy=2039 i lp=14</v>
      </c>
      <c r="AF17" s="25" t="str">
        <f t="shared" si="5"/>
        <v>rokprognozy=2040 i lp=14</v>
      </c>
      <c r="AG17" s="25" t="str">
        <f t="shared" si="5"/>
        <v>rokprognozy=2041 i lp=14</v>
      </c>
      <c r="AH17" s="25" t="str">
        <f t="shared" si="5"/>
        <v>rokprognozy=2042 i lp=14</v>
      </c>
      <c r="AI17" s="25" t="str">
        <f t="shared" si="5"/>
        <v>rokprognozy=2043 i lp=14</v>
      </c>
      <c r="AJ17" s="25" t="str">
        <f t="shared" si="5"/>
        <v>rokprognozy=2044 i lp=14</v>
      </c>
      <c r="AK17" s="25" t="str">
        <f t="shared" si="5"/>
        <v>rokprognozy=2045 i lp=14</v>
      </c>
      <c r="AL17" s="25" t="str">
        <f t="shared" si="5"/>
        <v>rokprognozy=2046 i lp=14</v>
      </c>
      <c r="AM17" s="25" t="str">
        <f t="shared" si="5"/>
        <v>rokprognozy=2047 i lp=14</v>
      </c>
      <c r="AN17" s="25" t="str">
        <f t="shared" si="5"/>
        <v>rokprognozy=2048 i lp=14</v>
      </c>
      <c r="AO17" s="25" t="str">
        <f t="shared" si="5"/>
        <v>rokprognozy=2049 i lp=14</v>
      </c>
      <c r="AP17" s="25" t="str">
        <f t="shared" si="5"/>
        <v>rokprognozy=2050 i lp=14</v>
      </c>
    </row>
    <row r="18" spans="1:42" ht="14.25" customHeight="1">
      <c r="A18" s="9">
        <v>15</v>
      </c>
      <c r="B18" s="39">
        <v>4</v>
      </c>
      <c r="C18" s="47" t="s">
        <v>60</v>
      </c>
      <c r="D18" s="25" t="str">
        <f t="shared" si="2"/>
        <v>rokprognozy=2012 i lp=15</v>
      </c>
      <c r="E18" s="25" t="str">
        <f t="shared" si="2"/>
        <v>rokprognozy=2013 i lp=15</v>
      </c>
      <c r="F18" s="25" t="str">
        <f t="shared" si="2"/>
        <v>rokprognozy=2014 i lp=15</v>
      </c>
      <c r="G18" s="25" t="str">
        <f t="shared" si="2"/>
        <v>rokprognozy=2015 i lp=15</v>
      </c>
      <c r="H18" s="25" t="str">
        <f t="shared" si="2"/>
        <v>rokprognozy=2016 i lp=15</v>
      </c>
      <c r="I18" s="25" t="str">
        <f t="shared" si="2"/>
        <v>rokprognozy=2017 i lp=15</v>
      </c>
      <c r="J18" s="25" t="str">
        <f t="shared" si="2"/>
        <v>rokprognozy=2018 i lp=15</v>
      </c>
      <c r="K18" s="25" t="str">
        <f t="shared" si="2"/>
        <v>rokprognozy=2019 i lp=15</v>
      </c>
      <c r="L18" s="25" t="str">
        <f t="shared" si="2"/>
        <v>rokprognozy=2020 i lp=15</v>
      </c>
      <c r="M18" s="25" t="str">
        <f t="shared" si="4"/>
        <v>rokprognozy=2021 i lp=15</v>
      </c>
      <c r="N18" s="25" t="str">
        <f t="shared" si="4"/>
        <v>rokprognozy=2022 i lp=15</v>
      </c>
      <c r="O18" s="25" t="str">
        <f t="shared" si="4"/>
        <v>rokprognozy=2023 i lp=15</v>
      </c>
      <c r="P18" s="25" t="str">
        <f t="shared" si="4"/>
        <v>rokprognozy=2024 i lp=15</v>
      </c>
      <c r="Q18" s="25" t="str">
        <f t="shared" si="4"/>
        <v>rokprognozy=2025 i lp=15</v>
      </c>
      <c r="R18" s="25" t="str">
        <f t="shared" si="4"/>
        <v>rokprognozy=2026 i lp=15</v>
      </c>
      <c r="S18" s="25" t="str">
        <f t="shared" si="4"/>
        <v>rokprognozy=2027 i lp=15</v>
      </c>
      <c r="T18" s="25" t="str">
        <f t="shared" si="4"/>
        <v>rokprognozy=2028 i lp=15</v>
      </c>
      <c r="U18" s="25" t="str">
        <f t="shared" si="4"/>
        <v>rokprognozy=2029 i lp=15</v>
      </c>
      <c r="V18" s="25" t="str">
        <f t="shared" si="4"/>
        <v>rokprognozy=2030 i lp=15</v>
      </c>
      <c r="W18" s="25" t="str">
        <f t="shared" si="4"/>
        <v>rokprognozy=2031 i lp=15</v>
      </c>
      <c r="X18" s="25" t="str">
        <f t="shared" si="4"/>
        <v>rokprognozy=2032 i lp=15</v>
      </c>
      <c r="Y18" s="25" t="str">
        <f t="shared" si="4"/>
        <v>rokprognozy=2033 i lp=15</v>
      </c>
      <c r="Z18" s="25" t="str">
        <f t="shared" si="4"/>
        <v>rokprognozy=2034 i lp=15</v>
      </c>
      <c r="AA18" s="25" t="str">
        <f t="shared" si="4"/>
        <v>rokprognozy=2035 i lp=15</v>
      </c>
      <c r="AB18" s="25" t="str">
        <f t="shared" si="4"/>
        <v>rokprognozy=2036 i lp=15</v>
      </c>
      <c r="AC18" s="25" t="str">
        <f t="shared" si="5"/>
        <v>rokprognozy=2037 i lp=15</v>
      </c>
      <c r="AD18" s="25" t="str">
        <f t="shared" si="5"/>
        <v>rokprognozy=2038 i lp=15</v>
      </c>
      <c r="AE18" s="25" t="str">
        <f t="shared" si="5"/>
        <v>rokprognozy=2039 i lp=15</v>
      </c>
      <c r="AF18" s="25" t="str">
        <f t="shared" si="5"/>
        <v>rokprognozy=2040 i lp=15</v>
      </c>
      <c r="AG18" s="25" t="str">
        <f t="shared" si="5"/>
        <v>rokprognozy=2041 i lp=15</v>
      </c>
      <c r="AH18" s="25" t="str">
        <f t="shared" si="5"/>
        <v>rokprognozy=2042 i lp=15</v>
      </c>
      <c r="AI18" s="25" t="str">
        <f t="shared" si="5"/>
        <v>rokprognozy=2043 i lp=15</v>
      </c>
      <c r="AJ18" s="25" t="str">
        <f t="shared" si="5"/>
        <v>rokprognozy=2044 i lp=15</v>
      </c>
      <c r="AK18" s="25" t="str">
        <f t="shared" si="5"/>
        <v>rokprognozy=2045 i lp=15</v>
      </c>
      <c r="AL18" s="25" t="str">
        <f t="shared" si="5"/>
        <v>rokprognozy=2046 i lp=15</v>
      </c>
      <c r="AM18" s="25" t="str">
        <f t="shared" si="5"/>
        <v>rokprognozy=2047 i lp=15</v>
      </c>
      <c r="AN18" s="25" t="str">
        <f t="shared" si="5"/>
        <v>rokprognozy=2048 i lp=15</v>
      </c>
      <c r="AO18" s="25" t="str">
        <f t="shared" si="5"/>
        <v>rokprognozy=2049 i lp=15</v>
      </c>
      <c r="AP18" s="25" t="str">
        <f t="shared" si="5"/>
        <v>rokprognozy=2050 i lp=15</v>
      </c>
    </row>
    <row r="19" spans="1:42" ht="14.25" customHeight="1">
      <c r="A19" s="8">
        <v>16</v>
      </c>
      <c r="B19" s="39" t="s">
        <v>117</v>
      </c>
      <c r="C19" s="49" t="s">
        <v>118</v>
      </c>
      <c r="D19" s="25" t="str">
        <f t="shared" si="2"/>
        <v>rokprognozy=2012 i lp=16</v>
      </c>
      <c r="E19" s="25" t="str">
        <f t="shared" si="2"/>
        <v>rokprognozy=2013 i lp=16</v>
      </c>
      <c r="F19" s="25" t="str">
        <f t="shared" si="2"/>
        <v>rokprognozy=2014 i lp=16</v>
      </c>
      <c r="G19" s="25" t="str">
        <f t="shared" si="2"/>
        <v>rokprognozy=2015 i lp=16</v>
      </c>
      <c r="H19" s="25" t="str">
        <f t="shared" si="2"/>
        <v>rokprognozy=2016 i lp=16</v>
      </c>
      <c r="I19" s="25" t="str">
        <f t="shared" si="2"/>
        <v>rokprognozy=2017 i lp=16</v>
      </c>
      <c r="J19" s="25" t="str">
        <f t="shared" si="2"/>
        <v>rokprognozy=2018 i lp=16</v>
      </c>
      <c r="K19" s="25" t="str">
        <f t="shared" si="2"/>
        <v>rokprognozy=2019 i lp=16</v>
      </c>
      <c r="L19" s="25" t="str">
        <f t="shared" si="2"/>
        <v>rokprognozy=2020 i lp=16</v>
      </c>
      <c r="M19" s="25" t="str">
        <f t="shared" si="4"/>
        <v>rokprognozy=2021 i lp=16</v>
      </c>
      <c r="N19" s="25" t="str">
        <f t="shared" si="4"/>
        <v>rokprognozy=2022 i lp=16</v>
      </c>
      <c r="O19" s="25" t="str">
        <f t="shared" si="4"/>
        <v>rokprognozy=2023 i lp=16</v>
      </c>
      <c r="P19" s="25" t="str">
        <f t="shared" si="4"/>
        <v>rokprognozy=2024 i lp=16</v>
      </c>
      <c r="Q19" s="25" t="str">
        <f t="shared" si="4"/>
        <v>rokprognozy=2025 i lp=16</v>
      </c>
      <c r="R19" s="25" t="str">
        <f t="shared" si="4"/>
        <v>rokprognozy=2026 i lp=16</v>
      </c>
      <c r="S19" s="25" t="str">
        <f t="shared" si="4"/>
        <v>rokprognozy=2027 i lp=16</v>
      </c>
      <c r="T19" s="25" t="str">
        <f t="shared" si="4"/>
        <v>rokprognozy=2028 i lp=16</v>
      </c>
      <c r="U19" s="25" t="str">
        <f t="shared" si="4"/>
        <v>rokprognozy=2029 i lp=16</v>
      </c>
      <c r="V19" s="25" t="str">
        <f t="shared" si="4"/>
        <v>rokprognozy=2030 i lp=16</v>
      </c>
      <c r="W19" s="25" t="str">
        <f t="shared" si="4"/>
        <v>rokprognozy=2031 i lp=16</v>
      </c>
      <c r="X19" s="25" t="str">
        <f t="shared" si="4"/>
        <v>rokprognozy=2032 i lp=16</v>
      </c>
      <c r="Y19" s="25" t="str">
        <f t="shared" si="4"/>
        <v>rokprognozy=2033 i lp=16</v>
      </c>
      <c r="Z19" s="25" t="str">
        <f t="shared" si="4"/>
        <v>rokprognozy=2034 i lp=16</v>
      </c>
      <c r="AA19" s="25" t="str">
        <f t="shared" si="4"/>
        <v>rokprognozy=2035 i lp=16</v>
      </c>
      <c r="AB19" s="25" t="str">
        <f t="shared" si="4"/>
        <v>rokprognozy=2036 i lp=16</v>
      </c>
      <c r="AC19" s="25" t="str">
        <f t="shared" si="5"/>
        <v>rokprognozy=2037 i lp=16</v>
      </c>
      <c r="AD19" s="25" t="str">
        <f t="shared" si="5"/>
        <v>rokprognozy=2038 i lp=16</v>
      </c>
      <c r="AE19" s="25" t="str">
        <f t="shared" si="5"/>
        <v>rokprognozy=2039 i lp=16</v>
      </c>
      <c r="AF19" s="25" t="str">
        <f t="shared" si="5"/>
        <v>rokprognozy=2040 i lp=16</v>
      </c>
      <c r="AG19" s="25" t="str">
        <f t="shared" si="5"/>
        <v>rokprognozy=2041 i lp=16</v>
      </c>
      <c r="AH19" s="25" t="str">
        <f t="shared" si="5"/>
        <v>rokprognozy=2042 i lp=16</v>
      </c>
      <c r="AI19" s="25" t="str">
        <f t="shared" si="5"/>
        <v>rokprognozy=2043 i lp=16</v>
      </c>
      <c r="AJ19" s="25" t="str">
        <f t="shared" si="5"/>
        <v>rokprognozy=2044 i lp=16</v>
      </c>
      <c r="AK19" s="25" t="str">
        <f t="shared" si="5"/>
        <v>rokprognozy=2045 i lp=16</v>
      </c>
      <c r="AL19" s="25" t="str">
        <f t="shared" si="5"/>
        <v>rokprognozy=2046 i lp=16</v>
      </c>
      <c r="AM19" s="25" t="str">
        <f t="shared" si="5"/>
        <v>rokprognozy=2047 i lp=16</v>
      </c>
      <c r="AN19" s="25" t="str">
        <f t="shared" si="5"/>
        <v>rokprognozy=2048 i lp=16</v>
      </c>
      <c r="AO19" s="25" t="str">
        <f t="shared" si="5"/>
        <v>rokprognozy=2049 i lp=16</v>
      </c>
      <c r="AP19" s="25" t="str">
        <f t="shared" si="5"/>
        <v>rokprognozy=2050 i lp=16</v>
      </c>
    </row>
    <row r="20" spans="1:42" ht="14.25" customHeight="1">
      <c r="A20" s="7">
        <v>17</v>
      </c>
      <c r="B20" s="39">
        <v>5</v>
      </c>
      <c r="C20" s="15" t="s">
        <v>119</v>
      </c>
      <c r="D20" s="25" t="str">
        <f t="shared" si="2"/>
        <v>rokprognozy=2012 i lp=17</v>
      </c>
      <c r="E20" s="25" t="str">
        <f t="shared" si="2"/>
        <v>rokprognozy=2013 i lp=17</v>
      </c>
      <c r="F20" s="25" t="str">
        <f t="shared" si="2"/>
        <v>rokprognozy=2014 i lp=17</v>
      </c>
      <c r="G20" s="25" t="str">
        <f t="shared" si="2"/>
        <v>rokprognozy=2015 i lp=17</v>
      </c>
      <c r="H20" s="25" t="str">
        <f t="shared" si="2"/>
        <v>rokprognozy=2016 i lp=17</v>
      </c>
      <c r="I20" s="25" t="str">
        <f t="shared" si="2"/>
        <v>rokprognozy=2017 i lp=17</v>
      </c>
      <c r="J20" s="25" t="str">
        <f t="shared" si="2"/>
        <v>rokprognozy=2018 i lp=17</v>
      </c>
      <c r="K20" s="25" t="str">
        <f t="shared" si="2"/>
        <v>rokprognozy=2019 i lp=17</v>
      </c>
      <c r="L20" s="25" t="str">
        <f t="shared" si="2"/>
        <v>rokprognozy=2020 i lp=17</v>
      </c>
      <c r="M20" s="25" t="str">
        <f t="shared" si="4"/>
        <v>rokprognozy=2021 i lp=17</v>
      </c>
      <c r="N20" s="25" t="str">
        <f t="shared" si="4"/>
        <v>rokprognozy=2022 i lp=17</v>
      </c>
      <c r="O20" s="25" t="str">
        <f t="shared" si="4"/>
        <v>rokprognozy=2023 i lp=17</v>
      </c>
      <c r="P20" s="25" t="str">
        <f t="shared" si="4"/>
        <v>rokprognozy=2024 i lp=17</v>
      </c>
      <c r="Q20" s="25" t="str">
        <f t="shared" si="4"/>
        <v>rokprognozy=2025 i lp=17</v>
      </c>
      <c r="R20" s="25" t="str">
        <f t="shared" si="4"/>
        <v>rokprognozy=2026 i lp=17</v>
      </c>
      <c r="S20" s="25" t="str">
        <f t="shared" si="4"/>
        <v>rokprognozy=2027 i lp=17</v>
      </c>
      <c r="T20" s="25" t="str">
        <f t="shared" si="4"/>
        <v>rokprognozy=2028 i lp=17</v>
      </c>
      <c r="U20" s="25" t="str">
        <f t="shared" si="4"/>
        <v>rokprognozy=2029 i lp=17</v>
      </c>
      <c r="V20" s="25" t="str">
        <f t="shared" si="4"/>
        <v>rokprognozy=2030 i lp=17</v>
      </c>
      <c r="W20" s="25" t="str">
        <f t="shared" si="4"/>
        <v>rokprognozy=2031 i lp=17</v>
      </c>
      <c r="X20" s="25" t="str">
        <f t="shared" si="4"/>
        <v>rokprognozy=2032 i lp=17</v>
      </c>
      <c r="Y20" s="25" t="str">
        <f t="shared" si="4"/>
        <v>rokprognozy=2033 i lp=17</v>
      </c>
      <c r="Z20" s="25" t="str">
        <f t="shared" si="4"/>
        <v>rokprognozy=2034 i lp=17</v>
      </c>
      <c r="AA20" s="25" t="str">
        <f t="shared" si="4"/>
        <v>rokprognozy=2035 i lp=17</v>
      </c>
      <c r="AB20" s="25" t="str">
        <f t="shared" si="4"/>
        <v>rokprognozy=2036 i lp=17</v>
      </c>
      <c r="AC20" s="25" t="str">
        <f t="shared" si="5"/>
        <v>rokprognozy=2037 i lp=17</v>
      </c>
      <c r="AD20" s="25" t="str">
        <f t="shared" si="5"/>
        <v>rokprognozy=2038 i lp=17</v>
      </c>
      <c r="AE20" s="25" t="str">
        <f t="shared" si="5"/>
        <v>rokprognozy=2039 i lp=17</v>
      </c>
      <c r="AF20" s="25" t="str">
        <f t="shared" si="5"/>
        <v>rokprognozy=2040 i lp=17</v>
      </c>
      <c r="AG20" s="25" t="str">
        <f t="shared" si="5"/>
        <v>rokprognozy=2041 i lp=17</v>
      </c>
      <c r="AH20" s="25" t="str">
        <f t="shared" si="5"/>
        <v>rokprognozy=2042 i lp=17</v>
      </c>
      <c r="AI20" s="25" t="str">
        <f t="shared" si="5"/>
        <v>rokprognozy=2043 i lp=17</v>
      </c>
      <c r="AJ20" s="25" t="str">
        <f t="shared" si="5"/>
        <v>rokprognozy=2044 i lp=17</v>
      </c>
      <c r="AK20" s="25" t="str">
        <f t="shared" si="5"/>
        <v>rokprognozy=2045 i lp=17</v>
      </c>
      <c r="AL20" s="25" t="str">
        <f t="shared" si="5"/>
        <v>rokprognozy=2046 i lp=17</v>
      </c>
      <c r="AM20" s="25" t="str">
        <f t="shared" si="5"/>
        <v>rokprognozy=2047 i lp=17</v>
      </c>
      <c r="AN20" s="25" t="str">
        <f t="shared" si="5"/>
        <v>rokprognozy=2048 i lp=17</v>
      </c>
      <c r="AO20" s="25" t="str">
        <f t="shared" si="5"/>
        <v>rokprognozy=2049 i lp=17</v>
      </c>
      <c r="AP20" s="25" t="str">
        <f t="shared" si="5"/>
        <v>rokprognozy=2050 i lp=17</v>
      </c>
    </row>
    <row r="21" spans="1:42" ht="14.25" customHeight="1">
      <c r="A21" s="7">
        <v>18</v>
      </c>
      <c r="B21" s="39" t="s">
        <v>120</v>
      </c>
      <c r="C21" s="15" t="s">
        <v>118</v>
      </c>
      <c r="D21" s="25" t="str">
        <f t="shared" si="2"/>
        <v>rokprognozy=2012 i lp=18</v>
      </c>
      <c r="E21" s="25" t="str">
        <f t="shared" si="2"/>
        <v>rokprognozy=2013 i lp=18</v>
      </c>
      <c r="F21" s="25" t="str">
        <f t="shared" si="2"/>
        <v>rokprognozy=2014 i lp=18</v>
      </c>
      <c r="G21" s="25" t="str">
        <f t="shared" si="2"/>
        <v>rokprognozy=2015 i lp=18</v>
      </c>
      <c r="H21" s="25" t="str">
        <f t="shared" si="2"/>
        <v>rokprognozy=2016 i lp=18</v>
      </c>
      <c r="I21" s="25" t="str">
        <f t="shared" si="2"/>
        <v>rokprognozy=2017 i lp=18</v>
      </c>
      <c r="J21" s="25" t="str">
        <f t="shared" si="2"/>
        <v>rokprognozy=2018 i lp=18</v>
      </c>
      <c r="K21" s="25" t="str">
        <f t="shared" si="2"/>
        <v>rokprognozy=2019 i lp=18</v>
      </c>
      <c r="L21" s="25" t="str">
        <f t="shared" si="2"/>
        <v>rokprognozy=2020 i lp=18</v>
      </c>
      <c r="M21" s="25" t="str">
        <f t="shared" si="4"/>
        <v>rokprognozy=2021 i lp=18</v>
      </c>
      <c r="N21" s="25" t="str">
        <f t="shared" si="4"/>
        <v>rokprognozy=2022 i lp=18</v>
      </c>
      <c r="O21" s="25" t="str">
        <f t="shared" si="4"/>
        <v>rokprognozy=2023 i lp=18</v>
      </c>
      <c r="P21" s="25" t="str">
        <f t="shared" si="4"/>
        <v>rokprognozy=2024 i lp=18</v>
      </c>
      <c r="Q21" s="25" t="str">
        <f t="shared" si="4"/>
        <v>rokprognozy=2025 i lp=18</v>
      </c>
      <c r="R21" s="25" t="str">
        <f t="shared" si="4"/>
        <v>rokprognozy=2026 i lp=18</v>
      </c>
      <c r="S21" s="25" t="str">
        <f t="shared" si="4"/>
        <v>rokprognozy=2027 i lp=18</v>
      </c>
      <c r="T21" s="25" t="str">
        <f t="shared" si="4"/>
        <v>rokprognozy=2028 i lp=18</v>
      </c>
      <c r="U21" s="25" t="str">
        <f t="shared" si="4"/>
        <v>rokprognozy=2029 i lp=18</v>
      </c>
      <c r="V21" s="25" t="str">
        <f t="shared" si="4"/>
        <v>rokprognozy=2030 i lp=18</v>
      </c>
      <c r="W21" s="25" t="str">
        <f t="shared" si="4"/>
        <v>rokprognozy=2031 i lp=18</v>
      </c>
      <c r="X21" s="25" t="str">
        <f t="shared" si="4"/>
        <v>rokprognozy=2032 i lp=18</v>
      </c>
      <c r="Y21" s="25" t="str">
        <f t="shared" si="4"/>
        <v>rokprognozy=2033 i lp=18</v>
      </c>
      <c r="Z21" s="25" t="str">
        <f t="shared" si="4"/>
        <v>rokprognozy=2034 i lp=18</v>
      </c>
      <c r="AA21" s="25" t="str">
        <f t="shared" si="4"/>
        <v>rokprognozy=2035 i lp=18</v>
      </c>
      <c r="AB21" s="25" t="str">
        <f t="shared" si="4"/>
        <v>rokprognozy=2036 i lp=18</v>
      </c>
      <c r="AC21" s="25" t="str">
        <f t="shared" si="5"/>
        <v>rokprognozy=2037 i lp=18</v>
      </c>
      <c r="AD21" s="25" t="str">
        <f t="shared" si="5"/>
        <v>rokprognozy=2038 i lp=18</v>
      </c>
      <c r="AE21" s="25" t="str">
        <f t="shared" si="5"/>
        <v>rokprognozy=2039 i lp=18</v>
      </c>
      <c r="AF21" s="25" t="str">
        <f t="shared" si="5"/>
        <v>rokprognozy=2040 i lp=18</v>
      </c>
      <c r="AG21" s="25" t="str">
        <f t="shared" si="5"/>
        <v>rokprognozy=2041 i lp=18</v>
      </c>
      <c r="AH21" s="25" t="str">
        <f t="shared" si="5"/>
        <v>rokprognozy=2042 i lp=18</v>
      </c>
      <c r="AI21" s="25" t="str">
        <f t="shared" si="5"/>
        <v>rokprognozy=2043 i lp=18</v>
      </c>
      <c r="AJ21" s="25" t="str">
        <f t="shared" si="5"/>
        <v>rokprognozy=2044 i lp=18</v>
      </c>
      <c r="AK21" s="25" t="str">
        <f t="shared" si="5"/>
        <v>rokprognozy=2045 i lp=18</v>
      </c>
      <c r="AL21" s="25" t="str">
        <f t="shared" si="5"/>
        <v>rokprognozy=2046 i lp=18</v>
      </c>
      <c r="AM21" s="25" t="str">
        <f t="shared" si="5"/>
        <v>rokprognozy=2047 i lp=18</v>
      </c>
      <c r="AN21" s="25" t="str">
        <f t="shared" si="5"/>
        <v>rokprognozy=2048 i lp=18</v>
      </c>
      <c r="AO21" s="25" t="str">
        <f t="shared" si="5"/>
        <v>rokprognozy=2049 i lp=18</v>
      </c>
      <c r="AP21" s="25" t="str">
        <f t="shared" si="5"/>
        <v>rokprognozy=2050 i lp=18</v>
      </c>
    </row>
    <row r="22" spans="1:42" ht="14.25" customHeight="1">
      <c r="A22" s="8">
        <v>19</v>
      </c>
      <c r="B22" s="39">
        <v>6</v>
      </c>
      <c r="C22" s="48" t="s">
        <v>121</v>
      </c>
      <c r="D22" s="25" t="str">
        <f t="shared" si="2"/>
        <v>rokprognozy=2012 i lp=19</v>
      </c>
      <c r="E22" s="25" t="str">
        <f t="shared" si="2"/>
        <v>rokprognozy=2013 i lp=19</v>
      </c>
      <c r="F22" s="25" t="str">
        <f t="shared" si="2"/>
        <v>rokprognozy=2014 i lp=19</v>
      </c>
      <c r="G22" s="25" t="str">
        <f t="shared" si="2"/>
        <v>rokprognozy=2015 i lp=19</v>
      </c>
      <c r="H22" s="25" t="str">
        <f t="shared" si="2"/>
        <v>rokprognozy=2016 i lp=19</v>
      </c>
      <c r="I22" s="25" t="str">
        <f t="shared" si="2"/>
        <v>rokprognozy=2017 i lp=19</v>
      </c>
      <c r="J22" s="25" t="str">
        <f t="shared" si="2"/>
        <v>rokprognozy=2018 i lp=19</v>
      </c>
      <c r="K22" s="25" t="str">
        <f t="shared" si="2"/>
        <v>rokprognozy=2019 i lp=19</v>
      </c>
      <c r="L22" s="25" t="str">
        <f t="shared" si="2"/>
        <v>rokprognozy=2020 i lp=19</v>
      </c>
      <c r="M22" s="25" t="str">
        <f t="shared" si="4"/>
        <v>rokprognozy=2021 i lp=19</v>
      </c>
      <c r="N22" s="25" t="str">
        <f t="shared" si="4"/>
        <v>rokprognozy=2022 i lp=19</v>
      </c>
      <c r="O22" s="25" t="str">
        <f t="shared" si="4"/>
        <v>rokprognozy=2023 i lp=19</v>
      </c>
      <c r="P22" s="25" t="str">
        <f t="shared" si="4"/>
        <v>rokprognozy=2024 i lp=19</v>
      </c>
      <c r="Q22" s="25" t="str">
        <f t="shared" si="4"/>
        <v>rokprognozy=2025 i lp=19</v>
      </c>
      <c r="R22" s="25" t="str">
        <f t="shared" si="4"/>
        <v>rokprognozy=2026 i lp=19</v>
      </c>
      <c r="S22" s="25" t="str">
        <f t="shared" si="4"/>
        <v>rokprognozy=2027 i lp=19</v>
      </c>
      <c r="T22" s="25" t="str">
        <f t="shared" si="4"/>
        <v>rokprognozy=2028 i lp=19</v>
      </c>
      <c r="U22" s="25" t="str">
        <f t="shared" si="4"/>
        <v>rokprognozy=2029 i lp=19</v>
      </c>
      <c r="V22" s="25" t="str">
        <f t="shared" si="4"/>
        <v>rokprognozy=2030 i lp=19</v>
      </c>
      <c r="W22" s="25" t="str">
        <f t="shared" si="4"/>
        <v>rokprognozy=2031 i lp=19</v>
      </c>
      <c r="X22" s="25" t="str">
        <f t="shared" si="4"/>
        <v>rokprognozy=2032 i lp=19</v>
      </c>
      <c r="Y22" s="25" t="str">
        <f t="shared" si="4"/>
        <v>rokprognozy=2033 i lp=19</v>
      </c>
      <c r="Z22" s="25" t="str">
        <f t="shared" si="4"/>
        <v>rokprognozy=2034 i lp=19</v>
      </c>
      <c r="AA22" s="25" t="str">
        <f t="shared" si="4"/>
        <v>rokprognozy=2035 i lp=19</v>
      </c>
      <c r="AB22" s="25" t="str">
        <f t="shared" si="4"/>
        <v>rokprognozy=2036 i lp=19</v>
      </c>
      <c r="AC22" s="25" t="str">
        <f t="shared" si="5"/>
        <v>rokprognozy=2037 i lp=19</v>
      </c>
      <c r="AD22" s="25" t="str">
        <f t="shared" si="5"/>
        <v>rokprognozy=2038 i lp=19</v>
      </c>
      <c r="AE22" s="25" t="str">
        <f t="shared" si="5"/>
        <v>rokprognozy=2039 i lp=19</v>
      </c>
      <c r="AF22" s="25" t="str">
        <f t="shared" si="5"/>
        <v>rokprognozy=2040 i lp=19</v>
      </c>
      <c r="AG22" s="25" t="str">
        <f t="shared" si="5"/>
        <v>rokprognozy=2041 i lp=19</v>
      </c>
      <c r="AH22" s="25" t="str">
        <f t="shared" si="5"/>
        <v>rokprognozy=2042 i lp=19</v>
      </c>
      <c r="AI22" s="25" t="str">
        <f t="shared" si="5"/>
        <v>rokprognozy=2043 i lp=19</v>
      </c>
      <c r="AJ22" s="25" t="str">
        <f t="shared" si="5"/>
        <v>rokprognozy=2044 i lp=19</v>
      </c>
      <c r="AK22" s="25" t="str">
        <f t="shared" si="5"/>
        <v>rokprognozy=2045 i lp=19</v>
      </c>
      <c r="AL22" s="25" t="str">
        <f t="shared" si="5"/>
        <v>rokprognozy=2046 i lp=19</v>
      </c>
      <c r="AM22" s="25" t="str">
        <f t="shared" si="5"/>
        <v>rokprognozy=2047 i lp=19</v>
      </c>
      <c r="AN22" s="25" t="str">
        <f t="shared" si="5"/>
        <v>rokprognozy=2048 i lp=19</v>
      </c>
      <c r="AO22" s="25" t="str">
        <f t="shared" si="5"/>
        <v>rokprognozy=2049 i lp=19</v>
      </c>
      <c r="AP22" s="25" t="str">
        <f t="shared" si="5"/>
        <v>rokprognozy=2050 i lp=19</v>
      </c>
    </row>
    <row r="23" spans="1:42" ht="14.25" customHeight="1">
      <c r="A23" s="9">
        <v>20</v>
      </c>
      <c r="B23" s="39">
        <v>7</v>
      </c>
      <c r="C23" s="52" t="s">
        <v>12</v>
      </c>
      <c r="D23" s="25" t="str">
        <f t="shared" si="2"/>
        <v>rokprognozy=2012 i lp=20</v>
      </c>
      <c r="E23" s="25" t="str">
        <f t="shared" si="2"/>
        <v>rokprognozy=2013 i lp=20</v>
      </c>
      <c r="F23" s="25" t="str">
        <f t="shared" si="2"/>
        <v>rokprognozy=2014 i lp=20</v>
      </c>
      <c r="G23" s="25" t="str">
        <f t="shared" si="2"/>
        <v>rokprognozy=2015 i lp=20</v>
      </c>
      <c r="H23" s="25" t="str">
        <f t="shared" si="2"/>
        <v>rokprognozy=2016 i lp=20</v>
      </c>
      <c r="I23" s="25" t="str">
        <f t="shared" si="2"/>
        <v>rokprognozy=2017 i lp=20</v>
      </c>
      <c r="J23" s="25" t="str">
        <f t="shared" si="2"/>
        <v>rokprognozy=2018 i lp=20</v>
      </c>
      <c r="K23" s="25" t="str">
        <f t="shared" si="2"/>
        <v>rokprognozy=2019 i lp=20</v>
      </c>
      <c r="L23" s="25" t="str">
        <f t="shared" si="2"/>
        <v>rokprognozy=2020 i lp=20</v>
      </c>
      <c r="M23" s="25" t="str">
        <f t="shared" si="4"/>
        <v>rokprognozy=2021 i lp=20</v>
      </c>
      <c r="N23" s="25" t="str">
        <f t="shared" si="4"/>
        <v>rokprognozy=2022 i lp=20</v>
      </c>
      <c r="O23" s="25" t="str">
        <f t="shared" si="4"/>
        <v>rokprognozy=2023 i lp=20</v>
      </c>
      <c r="P23" s="25" t="str">
        <f t="shared" si="4"/>
        <v>rokprognozy=2024 i lp=20</v>
      </c>
      <c r="Q23" s="25" t="str">
        <f t="shared" si="4"/>
        <v>rokprognozy=2025 i lp=20</v>
      </c>
      <c r="R23" s="25" t="str">
        <f t="shared" si="4"/>
        <v>rokprognozy=2026 i lp=20</v>
      </c>
      <c r="S23" s="25" t="str">
        <f t="shared" si="4"/>
        <v>rokprognozy=2027 i lp=20</v>
      </c>
      <c r="T23" s="25" t="str">
        <f t="shared" si="4"/>
        <v>rokprognozy=2028 i lp=20</v>
      </c>
      <c r="U23" s="25" t="str">
        <f t="shared" si="4"/>
        <v>rokprognozy=2029 i lp=20</v>
      </c>
      <c r="V23" s="25" t="str">
        <f t="shared" si="4"/>
        <v>rokprognozy=2030 i lp=20</v>
      </c>
      <c r="W23" s="25" t="str">
        <f t="shared" si="4"/>
        <v>rokprognozy=2031 i lp=20</v>
      </c>
      <c r="X23" s="25" t="str">
        <f t="shared" si="4"/>
        <v>rokprognozy=2032 i lp=20</v>
      </c>
      <c r="Y23" s="25" t="str">
        <f t="shared" si="4"/>
        <v>rokprognozy=2033 i lp=20</v>
      </c>
      <c r="Z23" s="25" t="str">
        <f t="shared" si="4"/>
        <v>rokprognozy=2034 i lp=20</v>
      </c>
      <c r="AA23" s="25" t="str">
        <f t="shared" si="4"/>
        <v>rokprognozy=2035 i lp=20</v>
      </c>
      <c r="AB23" s="25" t="str">
        <f t="shared" si="4"/>
        <v>rokprognozy=2036 i lp=20</v>
      </c>
      <c r="AC23" s="25" t="str">
        <f t="shared" si="5"/>
        <v>rokprognozy=2037 i lp=20</v>
      </c>
      <c r="AD23" s="25" t="str">
        <f t="shared" si="5"/>
        <v>rokprognozy=2038 i lp=20</v>
      </c>
      <c r="AE23" s="25" t="str">
        <f t="shared" si="5"/>
        <v>rokprognozy=2039 i lp=20</v>
      </c>
      <c r="AF23" s="25" t="str">
        <f t="shared" si="5"/>
        <v>rokprognozy=2040 i lp=20</v>
      </c>
      <c r="AG23" s="25" t="str">
        <f t="shared" si="5"/>
        <v>rokprognozy=2041 i lp=20</v>
      </c>
      <c r="AH23" s="25" t="str">
        <f t="shared" si="5"/>
        <v>rokprognozy=2042 i lp=20</v>
      </c>
      <c r="AI23" s="25" t="str">
        <f t="shared" si="5"/>
        <v>rokprognozy=2043 i lp=20</v>
      </c>
      <c r="AJ23" s="25" t="str">
        <f t="shared" si="5"/>
        <v>rokprognozy=2044 i lp=20</v>
      </c>
      <c r="AK23" s="25" t="str">
        <f t="shared" si="5"/>
        <v>rokprognozy=2045 i lp=20</v>
      </c>
      <c r="AL23" s="25" t="str">
        <f t="shared" si="5"/>
        <v>rokprognozy=2046 i lp=20</v>
      </c>
      <c r="AM23" s="25" t="str">
        <f t="shared" si="5"/>
        <v>rokprognozy=2047 i lp=20</v>
      </c>
      <c r="AN23" s="25" t="str">
        <f t="shared" si="5"/>
        <v>rokprognozy=2048 i lp=20</v>
      </c>
      <c r="AO23" s="25" t="str">
        <f t="shared" si="5"/>
        <v>rokprognozy=2049 i lp=20</v>
      </c>
      <c r="AP23" s="25" t="str">
        <f t="shared" si="5"/>
        <v>rokprognozy=2050 i lp=20</v>
      </c>
    </row>
    <row r="24" spans="1:42" ht="14.25" customHeight="1">
      <c r="A24" s="8">
        <v>21</v>
      </c>
      <c r="B24" s="39" t="s">
        <v>122</v>
      </c>
      <c r="C24" s="48" t="s">
        <v>123</v>
      </c>
      <c r="D24" s="25" t="str">
        <f t="shared" si="2"/>
        <v>rokprognozy=2012 i lp=21</v>
      </c>
      <c r="E24" s="25" t="str">
        <f t="shared" si="2"/>
        <v>rokprognozy=2013 i lp=21</v>
      </c>
      <c r="F24" s="25" t="str">
        <f t="shared" si="2"/>
        <v>rokprognozy=2014 i lp=21</v>
      </c>
      <c r="G24" s="25" t="str">
        <f t="shared" si="2"/>
        <v>rokprognozy=2015 i lp=21</v>
      </c>
      <c r="H24" s="25" t="str">
        <f t="shared" si="2"/>
        <v>rokprognozy=2016 i lp=21</v>
      </c>
      <c r="I24" s="25" t="str">
        <f t="shared" si="2"/>
        <v>rokprognozy=2017 i lp=21</v>
      </c>
      <c r="J24" s="25" t="str">
        <f t="shared" si="2"/>
        <v>rokprognozy=2018 i lp=21</v>
      </c>
      <c r="K24" s="25" t="str">
        <f t="shared" si="2"/>
        <v>rokprognozy=2019 i lp=21</v>
      </c>
      <c r="L24" s="25" t="str">
        <f t="shared" si="2"/>
        <v>rokprognozy=2020 i lp=21</v>
      </c>
      <c r="M24" s="25" t="str">
        <f t="shared" si="4"/>
        <v>rokprognozy=2021 i lp=21</v>
      </c>
      <c r="N24" s="25" t="str">
        <f t="shared" si="4"/>
        <v>rokprognozy=2022 i lp=21</v>
      </c>
      <c r="O24" s="25" t="str">
        <f t="shared" si="4"/>
        <v>rokprognozy=2023 i lp=21</v>
      </c>
      <c r="P24" s="25" t="str">
        <f t="shared" si="4"/>
        <v>rokprognozy=2024 i lp=21</v>
      </c>
      <c r="Q24" s="25" t="str">
        <f t="shared" si="4"/>
        <v>rokprognozy=2025 i lp=21</v>
      </c>
      <c r="R24" s="25" t="str">
        <f t="shared" si="4"/>
        <v>rokprognozy=2026 i lp=21</v>
      </c>
      <c r="S24" s="25" t="str">
        <f t="shared" si="4"/>
        <v>rokprognozy=2027 i lp=21</v>
      </c>
      <c r="T24" s="25" t="str">
        <f t="shared" si="4"/>
        <v>rokprognozy=2028 i lp=21</v>
      </c>
      <c r="U24" s="25" t="str">
        <f t="shared" si="4"/>
        <v>rokprognozy=2029 i lp=21</v>
      </c>
      <c r="V24" s="25" t="str">
        <f t="shared" si="4"/>
        <v>rokprognozy=2030 i lp=21</v>
      </c>
      <c r="W24" s="25" t="str">
        <f t="shared" si="4"/>
        <v>rokprognozy=2031 i lp=21</v>
      </c>
      <c r="X24" s="25" t="str">
        <f t="shared" si="4"/>
        <v>rokprognozy=2032 i lp=21</v>
      </c>
      <c r="Y24" s="25" t="str">
        <f t="shared" si="4"/>
        <v>rokprognozy=2033 i lp=21</v>
      </c>
      <c r="Z24" s="25" t="str">
        <f t="shared" si="4"/>
        <v>rokprognozy=2034 i lp=21</v>
      </c>
      <c r="AA24" s="25" t="str">
        <f t="shared" si="4"/>
        <v>rokprognozy=2035 i lp=21</v>
      </c>
      <c r="AB24" s="25" t="str">
        <f t="shared" si="4"/>
        <v>rokprognozy=2036 i lp=21</v>
      </c>
      <c r="AC24" s="25" t="str">
        <f t="shared" si="5"/>
        <v>rokprognozy=2037 i lp=21</v>
      </c>
      <c r="AD24" s="25" t="str">
        <f t="shared" si="5"/>
        <v>rokprognozy=2038 i lp=21</v>
      </c>
      <c r="AE24" s="25" t="str">
        <f t="shared" si="5"/>
        <v>rokprognozy=2039 i lp=21</v>
      </c>
      <c r="AF24" s="25" t="str">
        <f t="shared" si="5"/>
        <v>rokprognozy=2040 i lp=21</v>
      </c>
      <c r="AG24" s="25" t="str">
        <f t="shared" si="5"/>
        <v>rokprognozy=2041 i lp=21</v>
      </c>
      <c r="AH24" s="25" t="str">
        <f t="shared" si="5"/>
        <v>rokprognozy=2042 i lp=21</v>
      </c>
      <c r="AI24" s="25" t="str">
        <f t="shared" si="5"/>
        <v>rokprognozy=2043 i lp=21</v>
      </c>
      <c r="AJ24" s="25" t="str">
        <f t="shared" si="5"/>
        <v>rokprognozy=2044 i lp=21</v>
      </c>
      <c r="AK24" s="25" t="str">
        <f t="shared" si="5"/>
        <v>rokprognozy=2045 i lp=21</v>
      </c>
      <c r="AL24" s="25" t="str">
        <f t="shared" si="5"/>
        <v>rokprognozy=2046 i lp=21</v>
      </c>
      <c r="AM24" s="25" t="str">
        <f t="shared" si="5"/>
        <v>rokprognozy=2047 i lp=21</v>
      </c>
      <c r="AN24" s="25" t="str">
        <f t="shared" si="5"/>
        <v>rokprognozy=2048 i lp=21</v>
      </c>
      <c r="AO24" s="25" t="str">
        <f t="shared" si="5"/>
        <v>rokprognozy=2049 i lp=21</v>
      </c>
      <c r="AP24" s="25" t="str">
        <f t="shared" si="5"/>
        <v>rokprognozy=2050 i lp=21</v>
      </c>
    </row>
    <row r="25" spans="1:42" ht="14.25" customHeight="1">
      <c r="A25" s="7">
        <v>22</v>
      </c>
      <c r="B25" s="39" t="s">
        <v>124</v>
      </c>
      <c r="C25" s="2" t="s">
        <v>125</v>
      </c>
      <c r="D25" s="25" t="str">
        <f t="shared" si="2"/>
        <v>rokprognozy=2012 i lp=22</v>
      </c>
      <c r="E25" s="25" t="str">
        <f t="shared" si="2"/>
        <v>rokprognozy=2013 i lp=22</v>
      </c>
      <c r="F25" s="25" t="str">
        <f t="shared" si="2"/>
        <v>rokprognozy=2014 i lp=22</v>
      </c>
      <c r="G25" s="25" t="str">
        <f t="shared" si="2"/>
        <v>rokprognozy=2015 i lp=22</v>
      </c>
      <c r="H25" s="25" t="str">
        <f t="shared" si="2"/>
        <v>rokprognozy=2016 i lp=22</v>
      </c>
      <c r="I25" s="25" t="str">
        <f t="shared" si="2"/>
        <v>rokprognozy=2017 i lp=22</v>
      </c>
      <c r="J25" s="25" t="str">
        <f t="shared" si="2"/>
        <v>rokprognozy=2018 i lp=22</v>
      </c>
      <c r="K25" s="25" t="str">
        <f t="shared" si="2"/>
        <v>rokprognozy=2019 i lp=22</v>
      </c>
      <c r="L25" s="25" t="str">
        <f t="shared" si="2"/>
        <v>rokprognozy=2020 i lp=22</v>
      </c>
      <c r="M25" s="25" t="str">
        <f t="shared" si="4"/>
        <v>rokprognozy=2021 i lp=22</v>
      </c>
      <c r="N25" s="25" t="str">
        <f t="shared" si="4"/>
        <v>rokprognozy=2022 i lp=22</v>
      </c>
      <c r="O25" s="25" t="str">
        <f t="shared" si="4"/>
        <v>rokprognozy=2023 i lp=22</v>
      </c>
      <c r="P25" s="25" t="str">
        <f t="shared" si="4"/>
        <v>rokprognozy=2024 i lp=22</v>
      </c>
      <c r="Q25" s="25" t="str">
        <f t="shared" si="4"/>
        <v>rokprognozy=2025 i lp=22</v>
      </c>
      <c r="R25" s="25" t="str">
        <f t="shared" si="4"/>
        <v>rokprognozy=2026 i lp=22</v>
      </c>
      <c r="S25" s="25" t="str">
        <f t="shared" si="4"/>
        <v>rokprognozy=2027 i lp=22</v>
      </c>
      <c r="T25" s="25" t="str">
        <f t="shared" si="4"/>
        <v>rokprognozy=2028 i lp=22</v>
      </c>
      <c r="U25" s="25" t="str">
        <f t="shared" si="4"/>
        <v>rokprognozy=2029 i lp=22</v>
      </c>
      <c r="V25" s="25" t="str">
        <f t="shared" si="4"/>
        <v>rokprognozy=2030 i lp=22</v>
      </c>
      <c r="W25" s="25" t="str">
        <f t="shared" si="4"/>
        <v>rokprognozy=2031 i lp=22</v>
      </c>
      <c r="X25" s="25" t="str">
        <f t="shared" si="4"/>
        <v>rokprognozy=2032 i lp=22</v>
      </c>
      <c r="Y25" s="25" t="str">
        <f t="shared" si="4"/>
        <v>rokprognozy=2033 i lp=22</v>
      </c>
      <c r="Z25" s="25" t="str">
        <f t="shared" si="4"/>
        <v>rokprognozy=2034 i lp=22</v>
      </c>
      <c r="AA25" s="25" t="str">
        <f t="shared" si="4"/>
        <v>rokprognozy=2035 i lp=22</v>
      </c>
      <c r="AB25" s="25" t="str">
        <f t="shared" si="4"/>
        <v>rokprognozy=2036 i lp=22</v>
      </c>
      <c r="AC25" s="25" t="str">
        <f t="shared" si="5"/>
        <v>rokprognozy=2037 i lp=22</v>
      </c>
      <c r="AD25" s="25" t="str">
        <f t="shared" si="5"/>
        <v>rokprognozy=2038 i lp=22</v>
      </c>
      <c r="AE25" s="25" t="str">
        <f t="shared" si="5"/>
        <v>rokprognozy=2039 i lp=22</v>
      </c>
      <c r="AF25" s="25" t="str">
        <f t="shared" si="5"/>
        <v>rokprognozy=2040 i lp=22</v>
      </c>
      <c r="AG25" s="25" t="str">
        <f t="shared" si="5"/>
        <v>rokprognozy=2041 i lp=22</v>
      </c>
      <c r="AH25" s="25" t="str">
        <f t="shared" si="5"/>
        <v>rokprognozy=2042 i lp=22</v>
      </c>
      <c r="AI25" s="25" t="str">
        <f t="shared" si="5"/>
        <v>rokprognozy=2043 i lp=22</v>
      </c>
      <c r="AJ25" s="25" t="str">
        <f t="shared" si="5"/>
        <v>rokprognozy=2044 i lp=22</v>
      </c>
      <c r="AK25" s="25" t="str">
        <f t="shared" si="5"/>
        <v>rokprognozy=2045 i lp=22</v>
      </c>
      <c r="AL25" s="25" t="str">
        <f t="shared" si="5"/>
        <v>rokprognozy=2046 i lp=22</v>
      </c>
      <c r="AM25" s="25" t="str">
        <f t="shared" si="5"/>
        <v>rokprognozy=2047 i lp=22</v>
      </c>
      <c r="AN25" s="25" t="str">
        <f t="shared" si="5"/>
        <v>rokprognozy=2048 i lp=22</v>
      </c>
      <c r="AO25" s="25" t="str">
        <f t="shared" si="5"/>
        <v>rokprognozy=2049 i lp=22</v>
      </c>
      <c r="AP25" s="25" t="str">
        <f t="shared" si="5"/>
        <v>rokprognozy=2050 i lp=22</v>
      </c>
    </row>
    <row r="26" spans="1:42" ht="14.25" customHeight="1">
      <c r="A26" s="8">
        <v>23</v>
      </c>
      <c r="B26" s="39" t="s">
        <v>126</v>
      </c>
      <c r="C26" s="48" t="s">
        <v>127</v>
      </c>
      <c r="D26" s="25" t="str">
        <f t="shared" si="2"/>
        <v>rokprognozy=2012 i lp=23</v>
      </c>
      <c r="E26" s="25" t="str">
        <f t="shared" si="2"/>
        <v>rokprognozy=2013 i lp=23</v>
      </c>
      <c r="F26" s="25" t="str">
        <f t="shared" si="2"/>
        <v>rokprognozy=2014 i lp=23</v>
      </c>
      <c r="G26" s="25" t="str">
        <f t="shared" si="2"/>
        <v>rokprognozy=2015 i lp=23</v>
      </c>
      <c r="H26" s="25" t="str">
        <f t="shared" si="2"/>
        <v>rokprognozy=2016 i lp=23</v>
      </c>
      <c r="I26" s="25" t="str">
        <f t="shared" si="2"/>
        <v>rokprognozy=2017 i lp=23</v>
      </c>
      <c r="J26" s="25" t="str">
        <f t="shared" si="2"/>
        <v>rokprognozy=2018 i lp=23</v>
      </c>
      <c r="K26" s="25" t="str">
        <f t="shared" si="2"/>
        <v>rokprognozy=2019 i lp=23</v>
      </c>
      <c r="L26" s="25" t="str">
        <f t="shared" si="2"/>
        <v>rokprognozy=2020 i lp=23</v>
      </c>
      <c r="M26" s="25" t="str">
        <f t="shared" si="4"/>
        <v>rokprognozy=2021 i lp=23</v>
      </c>
      <c r="N26" s="25" t="str">
        <f t="shared" si="4"/>
        <v>rokprognozy=2022 i lp=23</v>
      </c>
      <c r="O26" s="25" t="str">
        <f t="shared" si="4"/>
        <v>rokprognozy=2023 i lp=23</v>
      </c>
      <c r="P26" s="25" t="str">
        <f t="shared" si="4"/>
        <v>rokprognozy=2024 i lp=23</v>
      </c>
      <c r="Q26" s="25" t="str">
        <f t="shared" si="4"/>
        <v>rokprognozy=2025 i lp=23</v>
      </c>
      <c r="R26" s="25" t="str">
        <f t="shared" si="4"/>
        <v>rokprognozy=2026 i lp=23</v>
      </c>
      <c r="S26" s="25" t="str">
        <f t="shared" si="4"/>
        <v>rokprognozy=2027 i lp=23</v>
      </c>
      <c r="T26" s="25" t="str">
        <f t="shared" si="4"/>
        <v>rokprognozy=2028 i lp=23</v>
      </c>
      <c r="U26" s="25" t="str">
        <f t="shared" si="4"/>
        <v>rokprognozy=2029 i lp=23</v>
      </c>
      <c r="V26" s="25" t="str">
        <f t="shared" si="4"/>
        <v>rokprognozy=2030 i lp=23</v>
      </c>
      <c r="W26" s="25" t="str">
        <f t="shared" si="4"/>
        <v>rokprognozy=2031 i lp=23</v>
      </c>
      <c r="X26" s="25" t="str">
        <f t="shared" si="4"/>
        <v>rokprognozy=2032 i lp=23</v>
      </c>
      <c r="Y26" s="25" t="str">
        <f t="shared" si="4"/>
        <v>rokprognozy=2033 i lp=23</v>
      </c>
      <c r="Z26" s="25" t="str">
        <f t="shared" si="4"/>
        <v>rokprognozy=2034 i lp=23</v>
      </c>
      <c r="AA26" s="25" t="str">
        <f t="shared" si="4"/>
        <v>rokprognozy=2035 i lp=23</v>
      </c>
      <c r="AB26" s="25" t="str">
        <f t="shared" si="4"/>
        <v>rokprognozy=2036 i lp=23</v>
      </c>
      <c r="AC26" s="25" t="str">
        <f t="shared" si="5"/>
        <v>rokprognozy=2037 i lp=23</v>
      </c>
      <c r="AD26" s="25" t="str">
        <f t="shared" si="5"/>
        <v>rokprognozy=2038 i lp=23</v>
      </c>
      <c r="AE26" s="25" t="str">
        <f t="shared" si="5"/>
        <v>rokprognozy=2039 i lp=23</v>
      </c>
      <c r="AF26" s="25" t="str">
        <f t="shared" si="5"/>
        <v>rokprognozy=2040 i lp=23</v>
      </c>
      <c r="AG26" s="25" t="str">
        <f t="shared" si="5"/>
        <v>rokprognozy=2041 i lp=23</v>
      </c>
      <c r="AH26" s="25" t="str">
        <f t="shared" si="5"/>
        <v>rokprognozy=2042 i lp=23</v>
      </c>
      <c r="AI26" s="25" t="str">
        <f t="shared" si="5"/>
        <v>rokprognozy=2043 i lp=23</v>
      </c>
      <c r="AJ26" s="25" t="str">
        <f t="shared" si="5"/>
        <v>rokprognozy=2044 i lp=23</v>
      </c>
      <c r="AK26" s="25" t="str">
        <f t="shared" si="5"/>
        <v>rokprognozy=2045 i lp=23</v>
      </c>
      <c r="AL26" s="25" t="str">
        <f t="shared" si="5"/>
        <v>rokprognozy=2046 i lp=23</v>
      </c>
      <c r="AM26" s="25" t="str">
        <f t="shared" si="5"/>
        <v>rokprognozy=2047 i lp=23</v>
      </c>
      <c r="AN26" s="25" t="str">
        <f t="shared" si="5"/>
        <v>rokprognozy=2048 i lp=23</v>
      </c>
      <c r="AO26" s="25" t="str">
        <f t="shared" si="5"/>
        <v>rokprognozy=2049 i lp=23</v>
      </c>
      <c r="AP26" s="25" t="str">
        <f t="shared" si="5"/>
        <v>rokprognozy=2050 i lp=23</v>
      </c>
    </row>
    <row r="27" spans="1:42" ht="15" customHeight="1" thickBot="1">
      <c r="A27" s="10">
        <v>24</v>
      </c>
      <c r="B27" s="39" t="s">
        <v>128</v>
      </c>
      <c r="C27" s="53" t="s">
        <v>129</v>
      </c>
      <c r="D27" s="25" t="str">
        <f t="shared" si="2"/>
        <v>rokprognozy=2012 i lp=24</v>
      </c>
      <c r="E27" s="25" t="str">
        <f t="shared" si="2"/>
        <v>rokprognozy=2013 i lp=24</v>
      </c>
      <c r="F27" s="25" t="str">
        <f t="shared" si="2"/>
        <v>rokprognozy=2014 i lp=24</v>
      </c>
      <c r="G27" s="25" t="str">
        <f t="shared" si="2"/>
        <v>rokprognozy=2015 i lp=24</v>
      </c>
      <c r="H27" s="25" t="str">
        <f t="shared" si="2"/>
        <v>rokprognozy=2016 i lp=24</v>
      </c>
      <c r="I27" s="25" t="str">
        <f t="shared" si="2"/>
        <v>rokprognozy=2017 i lp=24</v>
      </c>
      <c r="J27" s="25" t="str">
        <f t="shared" si="2"/>
        <v>rokprognozy=2018 i lp=24</v>
      </c>
      <c r="K27" s="25" t="str">
        <f t="shared" si="2"/>
        <v>rokprognozy=2019 i lp=24</v>
      </c>
      <c r="L27" s="25" t="str">
        <f t="shared" si="2"/>
        <v>rokprognozy=2020 i lp=24</v>
      </c>
      <c r="M27" s="25" t="str">
        <f t="shared" si="4"/>
        <v>rokprognozy=2021 i lp=24</v>
      </c>
      <c r="N27" s="25" t="str">
        <f t="shared" si="4"/>
        <v>rokprognozy=2022 i lp=24</v>
      </c>
      <c r="O27" s="25" t="str">
        <f t="shared" si="4"/>
        <v>rokprognozy=2023 i lp=24</v>
      </c>
      <c r="P27" s="25" t="str">
        <f t="shared" si="4"/>
        <v>rokprognozy=2024 i lp=24</v>
      </c>
      <c r="Q27" s="25" t="str">
        <f t="shared" si="4"/>
        <v>rokprognozy=2025 i lp=24</v>
      </c>
      <c r="R27" s="25" t="str">
        <f t="shared" si="4"/>
        <v>rokprognozy=2026 i lp=24</v>
      </c>
      <c r="S27" s="25" t="str">
        <f t="shared" si="4"/>
        <v>rokprognozy=2027 i lp=24</v>
      </c>
      <c r="T27" s="25" t="str">
        <f t="shared" si="4"/>
        <v>rokprognozy=2028 i lp=24</v>
      </c>
      <c r="U27" s="25" t="str">
        <f t="shared" si="4"/>
        <v>rokprognozy=2029 i lp=24</v>
      </c>
      <c r="V27" s="25" t="str">
        <f t="shared" si="4"/>
        <v>rokprognozy=2030 i lp=24</v>
      </c>
      <c r="W27" s="25" t="str">
        <f t="shared" si="4"/>
        <v>rokprognozy=2031 i lp=24</v>
      </c>
      <c r="X27" s="25" t="str">
        <f t="shared" si="4"/>
        <v>rokprognozy=2032 i lp=24</v>
      </c>
      <c r="Y27" s="25" t="str">
        <f t="shared" si="4"/>
        <v>rokprognozy=2033 i lp=24</v>
      </c>
      <c r="Z27" s="25" t="str">
        <f t="shared" si="4"/>
        <v>rokprognozy=2034 i lp=24</v>
      </c>
      <c r="AA27" s="25" t="str">
        <f t="shared" si="4"/>
        <v>rokprognozy=2035 i lp=24</v>
      </c>
      <c r="AB27" s="25" t="str">
        <f t="shared" si="4"/>
        <v>rokprognozy=2036 i lp=24</v>
      </c>
      <c r="AC27" s="25" t="str">
        <f t="shared" si="5"/>
        <v>rokprognozy=2037 i lp=24</v>
      </c>
      <c r="AD27" s="25" t="str">
        <f t="shared" si="5"/>
        <v>rokprognozy=2038 i lp=24</v>
      </c>
      <c r="AE27" s="25" t="str">
        <f t="shared" si="5"/>
        <v>rokprognozy=2039 i lp=24</v>
      </c>
      <c r="AF27" s="25" t="str">
        <f t="shared" si="5"/>
        <v>rokprognozy=2040 i lp=24</v>
      </c>
      <c r="AG27" s="25" t="str">
        <f t="shared" si="5"/>
        <v>rokprognozy=2041 i lp=24</v>
      </c>
      <c r="AH27" s="25" t="str">
        <f t="shared" si="5"/>
        <v>rokprognozy=2042 i lp=24</v>
      </c>
      <c r="AI27" s="25" t="str">
        <f t="shared" si="5"/>
        <v>rokprognozy=2043 i lp=24</v>
      </c>
      <c r="AJ27" s="25" t="str">
        <f t="shared" si="5"/>
        <v>rokprognozy=2044 i lp=24</v>
      </c>
      <c r="AK27" s="25" t="str">
        <f t="shared" si="5"/>
        <v>rokprognozy=2045 i lp=24</v>
      </c>
      <c r="AL27" s="25" t="str">
        <f t="shared" si="5"/>
        <v>rokprognozy=2046 i lp=24</v>
      </c>
      <c r="AM27" s="25" t="str">
        <f t="shared" si="5"/>
        <v>rokprognozy=2047 i lp=24</v>
      </c>
      <c r="AN27" s="25" t="str">
        <f t="shared" si="5"/>
        <v>rokprognozy=2048 i lp=24</v>
      </c>
      <c r="AO27" s="25" t="str">
        <f t="shared" si="5"/>
        <v>rokprognozy=2049 i lp=24</v>
      </c>
      <c r="AP27" s="25" t="str">
        <f t="shared" si="5"/>
        <v>rokprognozy=2050 i lp=24</v>
      </c>
    </row>
    <row r="28" spans="1:42" ht="14.25" customHeight="1">
      <c r="A28" s="11">
        <v>25</v>
      </c>
      <c r="B28" s="39">
        <v>8</v>
      </c>
      <c r="C28" s="54" t="s">
        <v>130</v>
      </c>
      <c r="D28" s="25" t="str">
        <f t="shared" si="2"/>
        <v>rokprognozy=2012 i lp=25</v>
      </c>
      <c r="E28" s="25" t="str">
        <f t="shared" si="2"/>
        <v>rokprognozy=2013 i lp=25</v>
      </c>
      <c r="F28" s="25" t="str">
        <f t="shared" si="2"/>
        <v>rokprognozy=2014 i lp=25</v>
      </c>
      <c r="G28" s="25" t="str">
        <f t="shared" si="2"/>
        <v>rokprognozy=2015 i lp=25</v>
      </c>
      <c r="H28" s="25" t="str">
        <f t="shared" si="2"/>
        <v>rokprognozy=2016 i lp=25</v>
      </c>
      <c r="I28" s="25" t="str">
        <f t="shared" si="2"/>
        <v>rokprognozy=2017 i lp=25</v>
      </c>
      <c r="J28" s="25" t="str">
        <f t="shared" si="2"/>
        <v>rokprognozy=2018 i lp=25</v>
      </c>
      <c r="K28" s="25" t="str">
        <f t="shared" si="2"/>
        <v>rokprognozy=2019 i lp=25</v>
      </c>
      <c r="L28" s="25" t="str">
        <f t="shared" si="2"/>
        <v>rokprognozy=2020 i lp=25</v>
      </c>
      <c r="M28" s="25" t="str">
        <f t="shared" si="4"/>
        <v>rokprognozy=2021 i lp=25</v>
      </c>
      <c r="N28" s="25" t="str">
        <f t="shared" si="4"/>
        <v>rokprognozy=2022 i lp=25</v>
      </c>
      <c r="O28" s="25" t="str">
        <f t="shared" si="4"/>
        <v>rokprognozy=2023 i lp=25</v>
      </c>
      <c r="P28" s="25" t="str">
        <f t="shared" si="4"/>
        <v>rokprognozy=2024 i lp=25</v>
      </c>
      <c r="Q28" s="25" t="str">
        <f t="shared" si="4"/>
        <v>rokprognozy=2025 i lp=25</v>
      </c>
      <c r="R28" s="25" t="str">
        <f t="shared" si="4"/>
        <v>rokprognozy=2026 i lp=25</v>
      </c>
      <c r="S28" s="25" t="str">
        <f t="shared" si="4"/>
        <v>rokprognozy=2027 i lp=25</v>
      </c>
      <c r="T28" s="25" t="str">
        <f t="shared" si="4"/>
        <v>rokprognozy=2028 i lp=25</v>
      </c>
      <c r="U28" s="25" t="str">
        <f t="shared" si="4"/>
        <v>rokprognozy=2029 i lp=25</v>
      </c>
      <c r="V28" s="25" t="str">
        <f t="shared" si="4"/>
        <v>rokprognozy=2030 i lp=25</v>
      </c>
      <c r="W28" s="25" t="str">
        <f t="shared" si="4"/>
        <v>rokprognozy=2031 i lp=25</v>
      </c>
      <c r="X28" s="25" t="str">
        <f t="shared" si="4"/>
        <v>rokprognozy=2032 i lp=25</v>
      </c>
      <c r="Y28" s="25" t="str">
        <f t="shared" si="4"/>
        <v>rokprognozy=2033 i lp=25</v>
      </c>
      <c r="Z28" s="25" t="str">
        <f t="shared" si="4"/>
        <v>rokprognozy=2034 i lp=25</v>
      </c>
      <c r="AA28" s="25" t="str">
        <f t="shared" si="4"/>
        <v>rokprognozy=2035 i lp=25</v>
      </c>
      <c r="AB28" s="25" t="str">
        <f t="shared" si="4"/>
        <v>rokprognozy=2036 i lp=25</v>
      </c>
      <c r="AC28" s="25" t="str">
        <f t="shared" si="5"/>
        <v>rokprognozy=2037 i lp=25</v>
      </c>
      <c r="AD28" s="25" t="str">
        <f t="shared" si="5"/>
        <v>rokprognozy=2038 i lp=25</v>
      </c>
      <c r="AE28" s="25" t="str">
        <f t="shared" si="5"/>
        <v>rokprognozy=2039 i lp=25</v>
      </c>
      <c r="AF28" s="25" t="str">
        <f t="shared" si="5"/>
        <v>rokprognozy=2040 i lp=25</v>
      </c>
      <c r="AG28" s="25" t="str">
        <f t="shared" si="5"/>
        <v>rokprognozy=2041 i lp=25</v>
      </c>
      <c r="AH28" s="25" t="str">
        <f t="shared" si="5"/>
        <v>rokprognozy=2042 i lp=25</v>
      </c>
      <c r="AI28" s="25" t="str">
        <f t="shared" si="5"/>
        <v>rokprognozy=2043 i lp=25</v>
      </c>
      <c r="AJ28" s="25" t="str">
        <f t="shared" si="5"/>
        <v>rokprognozy=2044 i lp=25</v>
      </c>
      <c r="AK28" s="25" t="str">
        <f t="shared" si="5"/>
        <v>rokprognozy=2045 i lp=25</v>
      </c>
      <c r="AL28" s="25" t="str">
        <f t="shared" si="5"/>
        <v>rokprognozy=2046 i lp=25</v>
      </c>
      <c r="AM28" s="25" t="str">
        <f t="shared" si="5"/>
        <v>rokprognozy=2047 i lp=25</v>
      </c>
      <c r="AN28" s="25" t="str">
        <f t="shared" si="5"/>
        <v>rokprognozy=2048 i lp=25</v>
      </c>
      <c r="AO28" s="25" t="str">
        <f t="shared" si="5"/>
        <v>rokprognozy=2049 i lp=25</v>
      </c>
      <c r="AP28" s="25" t="str">
        <f t="shared" si="5"/>
        <v>rokprognozy=2050 i lp=25</v>
      </c>
    </row>
    <row r="29" spans="1:42" ht="14.25" customHeight="1">
      <c r="A29" s="7">
        <v>26</v>
      </c>
      <c r="B29" s="39">
        <v>9</v>
      </c>
      <c r="C29" s="2" t="s">
        <v>131</v>
      </c>
      <c r="D29" s="25" t="str">
        <f t="shared" si="2"/>
        <v>rokprognozy=2012 i lp=26</v>
      </c>
      <c r="E29" s="25" t="str">
        <f t="shared" si="2"/>
        <v>rokprognozy=2013 i lp=26</v>
      </c>
      <c r="F29" s="25" t="str">
        <f t="shared" si="2"/>
        <v>rokprognozy=2014 i lp=26</v>
      </c>
      <c r="G29" s="25" t="str">
        <f t="shared" si="2"/>
        <v>rokprognozy=2015 i lp=26</v>
      </c>
      <c r="H29" s="25" t="str">
        <f t="shared" si="2"/>
        <v>rokprognozy=2016 i lp=26</v>
      </c>
      <c r="I29" s="25" t="str">
        <f t="shared" si="2"/>
        <v>rokprognozy=2017 i lp=26</v>
      </c>
      <c r="J29" s="25" t="str">
        <f t="shared" si="2"/>
        <v>rokprognozy=2018 i lp=26</v>
      </c>
      <c r="K29" s="25" t="str">
        <f t="shared" si="2"/>
        <v>rokprognozy=2019 i lp=26</v>
      </c>
      <c r="L29" s="25" t="str">
        <f t="shared" si="2"/>
        <v>rokprognozy=2020 i lp=26</v>
      </c>
      <c r="M29" s="25" t="str">
        <f t="shared" si="4"/>
        <v>rokprognozy=2021 i lp=26</v>
      </c>
      <c r="N29" s="25" t="str">
        <f t="shared" si="4"/>
        <v>rokprognozy=2022 i lp=26</v>
      </c>
      <c r="O29" s="25" t="str">
        <f t="shared" si="4"/>
        <v>rokprognozy=2023 i lp=26</v>
      </c>
      <c r="P29" s="25" t="str">
        <f t="shared" si="4"/>
        <v>rokprognozy=2024 i lp=26</v>
      </c>
      <c r="Q29" s="25" t="str">
        <f t="shared" si="4"/>
        <v>rokprognozy=2025 i lp=26</v>
      </c>
      <c r="R29" s="25" t="str">
        <f t="shared" si="4"/>
        <v>rokprognozy=2026 i lp=26</v>
      </c>
      <c r="S29" s="25" t="str">
        <f t="shared" si="4"/>
        <v>rokprognozy=2027 i lp=26</v>
      </c>
      <c r="T29" s="25" t="str">
        <f t="shared" si="4"/>
        <v>rokprognozy=2028 i lp=26</v>
      </c>
      <c r="U29" s="25" t="str">
        <f t="shared" si="4"/>
        <v>rokprognozy=2029 i lp=26</v>
      </c>
      <c r="V29" s="25" t="str">
        <f t="shared" si="4"/>
        <v>rokprognozy=2030 i lp=26</v>
      </c>
      <c r="W29" s="25" t="str">
        <f t="shared" si="4"/>
        <v>rokprognozy=2031 i lp=26</v>
      </c>
      <c r="X29" s="25" t="str">
        <f t="shared" si="4"/>
        <v>rokprognozy=2032 i lp=26</v>
      </c>
      <c r="Y29" s="25" t="str">
        <f t="shared" si="4"/>
        <v>rokprognozy=2033 i lp=26</v>
      </c>
      <c r="Z29" s="25" t="str">
        <f t="shared" si="4"/>
        <v>rokprognozy=2034 i lp=26</v>
      </c>
      <c r="AA29" s="25" t="str">
        <f t="shared" si="4"/>
        <v>rokprognozy=2035 i lp=26</v>
      </c>
      <c r="AB29" s="25" t="str">
        <f t="shared" si="4"/>
        <v>rokprognozy=2036 i lp=26</v>
      </c>
      <c r="AC29" s="25" t="str">
        <f t="shared" si="5"/>
        <v>rokprognozy=2037 i lp=26</v>
      </c>
      <c r="AD29" s="25" t="str">
        <f t="shared" si="5"/>
        <v>rokprognozy=2038 i lp=26</v>
      </c>
      <c r="AE29" s="25" t="str">
        <f t="shared" si="5"/>
        <v>rokprognozy=2039 i lp=26</v>
      </c>
      <c r="AF29" s="25" t="str">
        <f t="shared" si="5"/>
        <v>rokprognozy=2040 i lp=26</v>
      </c>
      <c r="AG29" s="25" t="str">
        <f t="shared" si="5"/>
        <v>rokprognozy=2041 i lp=26</v>
      </c>
      <c r="AH29" s="25" t="str">
        <f t="shared" si="5"/>
        <v>rokprognozy=2042 i lp=26</v>
      </c>
      <c r="AI29" s="25" t="str">
        <f t="shared" si="5"/>
        <v>rokprognozy=2043 i lp=26</v>
      </c>
      <c r="AJ29" s="25" t="str">
        <f t="shared" si="5"/>
        <v>rokprognozy=2044 i lp=26</v>
      </c>
      <c r="AK29" s="25" t="str">
        <f t="shared" si="5"/>
        <v>rokprognozy=2045 i lp=26</v>
      </c>
      <c r="AL29" s="25" t="str">
        <f t="shared" si="5"/>
        <v>rokprognozy=2046 i lp=26</v>
      </c>
      <c r="AM29" s="25" t="str">
        <f t="shared" si="5"/>
        <v>rokprognozy=2047 i lp=26</v>
      </c>
      <c r="AN29" s="25" t="str">
        <f t="shared" si="5"/>
        <v>rokprognozy=2048 i lp=26</v>
      </c>
      <c r="AO29" s="25" t="str">
        <f t="shared" si="5"/>
        <v>rokprognozy=2049 i lp=26</v>
      </c>
      <c r="AP29" s="25" t="str">
        <f t="shared" si="5"/>
        <v>rokprognozy=2050 i lp=26</v>
      </c>
    </row>
    <row r="30" spans="1:42" ht="14.25" customHeight="1">
      <c r="A30" s="7">
        <v>27</v>
      </c>
      <c r="B30" s="39">
        <v>10</v>
      </c>
      <c r="C30" s="2" t="s">
        <v>18</v>
      </c>
      <c r="D30" s="25" t="str">
        <f t="shared" si="2"/>
        <v>rokprognozy=2012 i lp=27</v>
      </c>
      <c r="E30" s="25" t="str">
        <f t="shared" si="2"/>
        <v>rokprognozy=2013 i lp=27</v>
      </c>
      <c r="F30" s="25" t="str">
        <f t="shared" si="2"/>
        <v>rokprognozy=2014 i lp=27</v>
      </c>
      <c r="G30" s="25" t="str">
        <f t="shared" ref="D30:S45" si="6">+"rokprognozy="&amp;G$3&amp;" i lp="&amp;$A30</f>
        <v>rokprognozy=2015 i lp=27</v>
      </c>
      <c r="H30" s="25" t="str">
        <f t="shared" si="6"/>
        <v>rokprognozy=2016 i lp=27</v>
      </c>
      <c r="I30" s="25" t="str">
        <f t="shared" si="6"/>
        <v>rokprognozy=2017 i lp=27</v>
      </c>
      <c r="J30" s="25" t="str">
        <f t="shared" si="6"/>
        <v>rokprognozy=2018 i lp=27</v>
      </c>
      <c r="K30" s="25" t="str">
        <f t="shared" si="6"/>
        <v>rokprognozy=2019 i lp=27</v>
      </c>
      <c r="L30" s="25" t="str">
        <f t="shared" si="6"/>
        <v>rokprognozy=2020 i lp=27</v>
      </c>
      <c r="M30" s="25" t="str">
        <f t="shared" si="4"/>
        <v>rokprognozy=2021 i lp=27</v>
      </c>
      <c r="N30" s="25" t="str">
        <f t="shared" si="4"/>
        <v>rokprognozy=2022 i lp=27</v>
      </c>
      <c r="O30" s="25" t="str">
        <f t="shared" si="4"/>
        <v>rokprognozy=2023 i lp=27</v>
      </c>
      <c r="P30" s="25" t="str">
        <f t="shared" si="4"/>
        <v>rokprognozy=2024 i lp=27</v>
      </c>
      <c r="Q30" s="25" t="str">
        <f t="shared" si="4"/>
        <v>rokprognozy=2025 i lp=27</v>
      </c>
      <c r="R30" s="25" t="str">
        <f t="shared" si="4"/>
        <v>rokprognozy=2026 i lp=27</v>
      </c>
      <c r="S30" s="25" t="str">
        <f t="shared" si="4"/>
        <v>rokprognozy=2027 i lp=27</v>
      </c>
      <c r="T30" s="25" t="str">
        <f t="shared" si="4"/>
        <v>rokprognozy=2028 i lp=27</v>
      </c>
      <c r="U30" s="25" t="str">
        <f t="shared" si="4"/>
        <v>rokprognozy=2029 i lp=27</v>
      </c>
      <c r="V30" s="25" t="str">
        <f t="shared" si="4"/>
        <v>rokprognozy=2030 i lp=27</v>
      </c>
      <c r="W30" s="25" t="str">
        <f t="shared" si="4"/>
        <v>rokprognozy=2031 i lp=27</v>
      </c>
      <c r="X30" s="25" t="str">
        <f t="shared" si="4"/>
        <v>rokprognozy=2032 i lp=27</v>
      </c>
      <c r="Y30" s="25" t="str">
        <f t="shared" si="4"/>
        <v>rokprognozy=2033 i lp=27</v>
      </c>
      <c r="Z30" s="25" t="str">
        <f t="shared" si="4"/>
        <v>rokprognozy=2034 i lp=27</v>
      </c>
      <c r="AA30" s="25" t="str">
        <f t="shared" si="4"/>
        <v>rokprognozy=2035 i lp=27</v>
      </c>
      <c r="AB30" s="25" t="str">
        <f t="shared" si="4"/>
        <v>rokprognozy=2036 i lp=27</v>
      </c>
      <c r="AC30" s="25" t="str">
        <f t="shared" si="5"/>
        <v>rokprognozy=2037 i lp=27</v>
      </c>
      <c r="AD30" s="25" t="str">
        <f t="shared" si="5"/>
        <v>rokprognozy=2038 i lp=27</v>
      </c>
      <c r="AE30" s="25" t="str">
        <f t="shared" si="5"/>
        <v>rokprognozy=2039 i lp=27</v>
      </c>
      <c r="AF30" s="25" t="str">
        <f t="shared" si="5"/>
        <v>rokprognozy=2040 i lp=27</v>
      </c>
      <c r="AG30" s="25" t="str">
        <f t="shared" si="5"/>
        <v>rokprognozy=2041 i lp=27</v>
      </c>
      <c r="AH30" s="25" t="str">
        <f t="shared" si="5"/>
        <v>rokprognozy=2042 i lp=27</v>
      </c>
      <c r="AI30" s="25" t="str">
        <f t="shared" si="5"/>
        <v>rokprognozy=2043 i lp=27</v>
      </c>
      <c r="AJ30" s="25" t="str">
        <f t="shared" si="5"/>
        <v>rokprognozy=2044 i lp=27</v>
      </c>
      <c r="AK30" s="25" t="str">
        <f t="shared" si="5"/>
        <v>rokprognozy=2045 i lp=27</v>
      </c>
      <c r="AL30" s="25" t="str">
        <f t="shared" si="5"/>
        <v>rokprognozy=2046 i lp=27</v>
      </c>
      <c r="AM30" s="25" t="str">
        <f t="shared" si="5"/>
        <v>rokprognozy=2047 i lp=27</v>
      </c>
      <c r="AN30" s="25" t="str">
        <f t="shared" si="5"/>
        <v>rokprognozy=2048 i lp=27</v>
      </c>
      <c r="AO30" s="25" t="str">
        <f t="shared" si="5"/>
        <v>rokprognozy=2049 i lp=27</v>
      </c>
      <c r="AP30" s="25" t="str">
        <f t="shared" si="5"/>
        <v>rokprognozy=2050 i lp=27</v>
      </c>
    </row>
    <row r="31" spans="1:42" ht="14.25" customHeight="1">
      <c r="A31" s="8">
        <v>28</v>
      </c>
      <c r="B31" s="39" t="s">
        <v>132</v>
      </c>
      <c r="C31" s="48" t="s">
        <v>133</v>
      </c>
      <c r="D31" s="25" t="str">
        <f t="shared" si="6"/>
        <v>rokprognozy=2012 i lp=28</v>
      </c>
      <c r="E31" s="25" t="str">
        <f t="shared" si="6"/>
        <v>rokprognozy=2013 i lp=28</v>
      </c>
      <c r="F31" s="25" t="str">
        <f t="shared" si="6"/>
        <v>rokprognozy=2014 i lp=28</v>
      </c>
      <c r="G31" s="25" t="str">
        <f t="shared" si="6"/>
        <v>rokprognozy=2015 i lp=28</v>
      </c>
      <c r="H31" s="25" t="str">
        <f t="shared" si="6"/>
        <v>rokprognozy=2016 i lp=28</v>
      </c>
      <c r="I31" s="25" t="str">
        <f t="shared" si="6"/>
        <v>rokprognozy=2017 i lp=28</v>
      </c>
      <c r="J31" s="25" t="str">
        <f t="shared" si="6"/>
        <v>rokprognozy=2018 i lp=28</v>
      </c>
      <c r="K31" s="25" t="str">
        <f t="shared" si="6"/>
        <v>rokprognozy=2019 i lp=28</v>
      </c>
      <c r="L31" s="25" t="str">
        <f t="shared" si="6"/>
        <v>rokprognozy=2020 i lp=28</v>
      </c>
      <c r="M31" s="25" t="str">
        <f t="shared" si="4"/>
        <v>rokprognozy=2021 i lp=28</v>
      </c>
      <c r="N31" s="25" t="str">
        <f t="shared" si="4"/>
        <v>rokprognozy=2022 i lp=28</v>
      </c>
      <c r="O31" s="25" t="str">
        <f t="shared" si="4"/>
        <v>rokprognozy=2023 i lp=28</v>
      </c>
      <c r="P31" s="25" t="str">
        <f t="shared" si="4"/>
        <v>rokprognozy=2024 i lp=28</v>
      </c>
      <c r="Q31" s="25" t="str">
        <f t="shared" si="4"/>
        <v>rokprognozy=2025 i lp=28</v>
      </c>
      <c r="R31" s="25" t="str">
        <f t="shared" si="4"/>
        <v>rokprognozy=2026 i lp=28</v>
      </c>
      <c r="S31" s="25" t="str">
        <f t="shared" si="4"/>
        <v>rokprognozy=2027 i lp=28</v>
      </c>
      <c r="T31" s="25" t="str">
        <f t="shared" si="4"/>
        <v>rokprognozy=2028 i lp=28</v>
      </c>
      <c r="U31" s="25" t="str">
        <f t="shared" si="4"/>
        <v>rokprognozy=2029 i lp=28</v>
      </c>
      <c r="V31" s="25" t="str">
        <f t="shared" si="4"/>
        <v>rokprognozy=2030 i lp=28</v>
      </c>
      <c r="W31" s="25" t="str">
        <f t="shared" si="4"/>
        <v>rokprognozy=2031 i lp=28</v>
      </c>
      <c r="X31" s="25" t="str">
        <f t="shared" si="4"/>
        <v>rokprognozy=2032 i lp=28</v>
      </c>
      <c r="Y31" s="25" t="str">
        <f t="shared" si="4"/>
        <v>rokprognozy=2033 i lp=28</v>
      </c>
      <c r="Z31" s="25" t="str">
        <f t="shared" si="4"/>
        <v>rokprognozy=2034 i lp=28</v>
      </c>
      <c r="AA31" s="25" t="str">
        <f t="shared" si="4"/>
        <v>rokprognozy=2035 i lp=28</v>
      </c>
      <c r="AB31" s="25" t="str">
        <f t="shared" si="4"/>
        <v>rokprognozy=2036 i lp=28</v>
      </c>
      <c r="AC31" s="25" t="str">
        <f t="shared" si="5"/>
        <v>rokprognozy=2037 i lp=28</v>
      </c>
      <c r="AD31" s="25" t="str">
        <f t="shared" si="5"/>
        <v>rokprognozy=2038 i lp=28</v>
      </c>
      <c r="AE31" s="25" t="str">
        <f t="shared" si="5"/>
        <v>rokprognozy=2039 i lp=28</v>
      </c>
      <c r="AF31" s="25" t="str">
        <f t="shared" si="5"/>
        <v>rokprognozy=2040 i lp=28</v>
      </c>
      <c r="AG31" s="25" t="str">
        <f t="shared" si="5"/>
        <v>rokprognozy=2041 i lp=28</v>
      </c>
      <c r="AH31" s="25" t="str">
        <f t="shared" si="5"/>
        <v>rokprognozy=2042 i lp=28</v>
      </c>
      <c r="AI31" s="25" t="str">
        <f t="shared" si="5"/>
        <v>rokprognozy=2043 i lp=28</v>
      </c>
      <c r="AJ31" s="25" t="str">
        <f t="shared" si="5"/>
        <v>rokprognozy=2044 i lp=28</v>
      </c>
      <c r="AK31" s="25" t="str">
        <f t="shared" si="5"/>
        <v>rokprognozy=2045 i lp=28</v>
      </c>
      <c r="AL31" s="25" t="str">
        <f t="shared" si="5"/>
        <v>rokprognozy=2046 i lp=28</v>
      </c>
      <c r="AM31" s="25" t="str">
        <f t="shared" si="5"/>
        <v>rokprognozy=2047 i lp=28</v>
      </c>
      <c r="AN31" s="25" t="str">
        <f t="shared" si="5"/>
        <v>rokprognozy=2048 i lp=28</v>
      </c>
      <c r="AO31" s="25" t="str">
        <f t="shared" si="5"/>
        <v>rokprognozy=2049 i lp=28</v>
      </c>
      <c r="AP31" s="25" t="str">
        <f t="shared" si="5"/>
        <v>rokprognozy=2050 i lp=28</v>
      </c>
    </row>
    <row r="32" spans="1:42" ht="49.5" customHeight="1">
      <c r="A32" s="8">
        <v>29</v>
      </c>
      <c r="B32" s="39" t="s">
        <v>134</v>
      </c>
      <c r="C32" s="48" t="s">
        <v>115</v>
      </c>
      <c r="D32" s="25" t="str">
        <f t="shared" si="6"/>
        <v>rokprognozy=2012 i lp=29</v>
      </c>
      <c r="E32" s="25" t="str">
        <f t="shared" si="6"/>
        <v>rokprognozy=2013 i lp=29</v>
      </c>
      <c r="F32" s="37" t="str">
        <f t="shared" si="6"/>
        <v>rokprognozy=2014 i lp=29</v>
      </c>
      <c r="G32" s="37" t="str">
        <f t="shared" si="6"/>
        <v>rokprognozy=2015 i lp=29</v>
      </c>
      <c r="H32" s="37" t="str">
        <f t="shared" si="6"/>
        <v>rokprognozy=2016 i lp=29</v>
      </c>
      <c r="I32" s="37" t="str">
        <f t="shared" si="6"/>
        <v>rokprognozy=2017 i lp=29</v>
      </c>
      <c r="J32" s="37" t="str">
        <f t="shared" si="6"/>
        <v>rokprognozy=2018 i lp=29</v>
      </c>
      <c r="K32" s="37" t="str">
        <f t="shared" si="6"/>
        <v>rokprognozy=2019 i lp=29</v>
      </c>
      <c r="L32" s="37" t="str">
        <f t="shared" si="6"/>
        <v>rokprognozy=2020 i lp=29</v>
      </c>
      <c r="M32" s="37" t="str">
        <f t="shared" si="4"/>
        <v>rokprognozy=2021 i lp=29</v>
      </c>
      <c r="N32" s="37" t="str">
        <f t="shared" si="4"/>
        <v>rokprognozy=2022 i lp=29</v>
      </c>
      <c r="O32" s="37" t="str">
        <f t="shared" si="4"/>
        <v>rokprognozy=2023 i lp=29</v>
      </c>
      <c r="P32" s="37" t="str">
        <f t="shared" si="4"/>
        <v>rokprognozy=2024 i lp=29</v>
      </c>
      <c r="Q32" s="37" t="str">
        <f t="shared" si="4"/>
        <v>rokprognozy=2025 i lp=29</v>
      </c>
      <c r="R32" s="37" t="str">
        <f t="shared" si="4"/>
        <v>rokprognozy=2026 i lp=29</v>
      </c>
      <c r="S32" s="37" t="str">
        <f t="shared" si="4"/>
        <v>rokprognozy=2027 i lp=29</v>
      </c>
      <c r="T32" s="37" t="str">
        <f t="shared" si="4"/>
        <v>rokprognozy=2028 i lp=29</v>
      </c>
      <c r="U32" s="37" t="str">
        <f t="shared" si="4"/>
        <v>rokprognozy=2029 i lp=29</v>
      </c>
      <c r="V32" s="37" t="str">
        <f t="shared" si="4"/>
        <v>rokprognozy=2030 i lp=29</v>
      </c>
      <c r="W32" s="37" t="str">
        <f t="shared" si="4"/>
        <v>rokprognozy=2031 i lp=29</v>
      </c>
      <c r="X32" s="37" t="str">
        <f t="shared" si="4"/>
        <v>rokprognozy=2032 i lp=29</v>
      </c>
      <c r="Y32" s="37" t="str">
        <f t="shared" si="4"/>
        <v>rokprognozy=2033 i lp=29</v>
      </c>
      <c r="Z32" s="37" t="str">
        <f t="shared" si="4"/>
        <v>rokprognozy=2034 i lp=29</v>
      </c>
      <c r="AA32" s="37" t="str">
        <f t="shared" si="4"/>
        <v>rokprognozy=2035 i lp=29</v>
      </c>
      <c r="AB32" s="37" t="str">
        <f>+"rokprognozy="&amp;AB$3&amp;" i lp="&amp;$A32</f>
        <v>rokprognozy=2036 i lp=29</v>
      </c>
      <c r="AC32" s="37" t="str">
        <f t="shared" si="5"/>
        <v>rokprognozy=2037 i lp=29</v>
      </c>
      <c r="AD32" s="37" t="str">
        <f t="shared" si="5"/>
        <v>rokprognozy=2038 i lp=29</v>
      </c>
      <c r="AE32" s="37" t="str">
        <f t="shared" si="5"/>
        <v>rokprognozy=2039 i lp=29</v>
      </c>
      <c r="AF32" s="37" t="str">
        <f t="shared" si="5"/>
        <v>rokprognozy=2040 i lp=29</v>
      </c>
      <c r="AG32" s="37" t="str">
        <f t="shared" si="5"/>
        <v>rokprognozy=2041 i lp=29</v>
      </c>
      <c r="AH32" s="37" t="str">
        <f t="shared" si="5"/>
        <v>rokprognozy=2042 i lp=29</v>
      </c>
      <c r="AI32" s="37" t="str">
        <f t="shared" si="5"/>
        <v>rokprognozy=2043 i lp=29</v>
      </c>
      <c r="AJ32" s="37" t="str">
        <f t="shared" si="5"/>
        <v>rokprognozy=2044 i lp=29</v>
      </c>
      <c r="AK32" s="37" t="str">
        <f t="shared" si="5"/>
        <v>rokprognozy=2045 i lp=29</v>
      </c>
      <c r="AL32" s="37" t="str">
        <f t="shared" si="5"/>
        <v>rokprognozy=2046 i lp=29</v>
      </c>
      <c r="AM32" s="37" t="str">
        <f t="shared" si="5"/>
        <v>rokprognozy=2047 i lp=29</v>
      </c>
      <c r="AN32" s="37" t="str">
        <f t="shared" si="5"/>
        <v>rokprognozy=2048 i lp=29</v>
      </c>
      <c r="AO32" s="37" t="str">
        <f t="shared" si="5"/>
        <v>rokprognozy=2049 i lp=29</v>
      </c>
      <c r="AP32" s="37" t="str">
        <f t="shared" si="5"/>
        <v>rokprognozy=2050 i lp=29</v>
      </c>
    </row>
    <row r="33" spans="1:42">
      <c r="A33" s="8">
        <v>30</v>
      </c>
      <c r="B33" s="39">
        <v>11</v>
      </c>
      <c r="C33" s="48" t="s">
        <v>62</v>
      </c>
      <c r="D33" s="25" t="str">
        <f t="shared" si="6"/>
        <v>rokprognozy=2012 i lp=30</v>
      </c>
      <c r="E33" s="25" t="str">
        <f t="shared" si="6"/>
        <v>rokprognozy=2013 i lp=30</v>
      </c>
      <c r="F33" s="37" t="str">
        <f t="shared" si="6"/>
        <v>rokprognozy=2014 i lp=30</v>
      </c>
      <c r="G33" s="37" t="str">
        <f t="shared" si="6"/>
        <v>rokprognozy=2015 i lp=30</v>
      </c>
      <c r="H33" s="37" t="str">
        <f t="shared" si="6"/>
        <v>rokprognozy=2016 i lp=30</v>
      </c>
      <c r="I33" s="37" t="str">
        <f t="shared" si="6"/>
        <v>rokprognozy=2017 i lp=30</v>
      </c>
      <c r="J33" s="37" t="str">
        <f t="shared" si="6"/>
        <v>rokprognozy=2018 i lp=30</v>
      </c>
      <c r="K33" s="37" t="str">
        <f t="shared" si="6"/>
        <v>rokprognozy=2019 i lp=30</v>
      </c>
      <c r="L33" s="37" t="str">
        <f t="shared" si="6"/>
        <v>rokprognozy=2020 i lp=30</v>
      </c>
      <c r="M33" s="37" t="str">
        <f t="shared" si="6"/>
        <v>rokprognozy=2021 i lp=30</v>
      </c>
      <c r="N33" s="37" t="str">
        <f t="shared" si="6"/>
        <v>rokprognozy=2022 i lp=30</v>
      </c>
      <c r="O33" s="37" t="str">
        <f t="shared" si="6"/>
        <v>rokprognozy=2023 i lp=30</v>
      </c>
      <c r="P33" s="37" t="str">
        <f t="shared" si="6"/>
        <v>rokprognozy=2024 i lp=30</v>
      </c>
      <c r="Q33" s="37" t="str">
        <f t="shared" si="6"/>
        <v>rokprognozy=2025 i lp=30</v>
      </c>
      <c r="R33" s="37" t="str">
        <f t="shared" si="6"/>
        <v>rokprognozy=2026 i lp=30</v>
      </c>
      <c r="S33" s="37" t="str">
        <f t="shared" si="6"/>
        <v>rokprognozy=2027 i lp=30</v>
      </c>
      <c r="T33" s="37" t="str">
        <f t="shared" ref="M33:AB49" si="7">+"rokprognozy="&amp;T$3&amp;" i lp="&amp;$A33</f>
        <v>rokprognozy=2028 i lp=30</v>
      </c>
      <c r="U33" s="37" t="str">
        <f t="shared" si="7"/>
        <v>rokprognozy=2029 i lp=30</v>
      </c>
      <c r="V33" s="37" t="str">
        <f t="shared" si="7"/>
        <v>rokprognozy=2030 i lp=30</v>
      </c>
      <c r="W33" s="37" t="str">
        <f t="shared" si="7"/>
        <v>rokprognozy=2031 i lp=30</v>
      </c>
      <c r="X33" s="37" t="str">
        <f t="shared" si="7"/>
        <v>rokprognozy=2032 i lp=30</v>
      </c>
      <c r="Y33" s="37" t="str">
        <f t="shared" si="7"/>
        <v>rokprognozy=2033 i lp=30</v>
      </c>
      <c r="Z33" s="37" t="str">
        <f t="shared" si="7"/>
        <v>rokprognozy=2034 i lp=30</v>
      </c>
      <c r="AA33" s="37" t="str">
        <f t="shared" si="7"/>
        <v>rokprognozy=2035 i lp=30</v>
      </c>
      <c r="AB33" s="37" t="str">
        <f t="shared" si="7"/>
        <v>rokprognozy=2036 i lp=30</v>
      </c>
      <c r="AC33" s="37" t="str">
        <f t="shared" si="5"/>
        <v>rokprognozy=2037 i lp=30</v>
      </c>
      <c r="AD33" s="37" t="str">
        <f t="shared" si="5"/>
        <v>rokprognozy=2038 i lp=30</v>
      </c>
      <c r="AE33" s="37" t="str">
        <f t="shared" si="5"/>
        <v>rokprognozy=2039 i lp=30</v>
      </c>
      <c r="AF33" s="37" t="str">
        <f t="shared" si="5"/>
        <v>rokprognozy=2040 i lp=30</v>
      </c>
      <c r="AG33" s="37" t="str">
        <f t="shared" si="5"/>
        <v>rokprognozy=2041 i lp=30</v>
      </c>
      <c r="AH33" s="37" t="str">
        <f t="shared" si="5"/>
        <v>rokprognozy=2042 i lp=30</v>
      </c>
      <c r="AI33" s="37" t="str">
        <f t="shared" si="5"/>
        <v>rokprognozy=2043 i lp=30</v>
      </c>
      <c r="AJ33" s="37" t="str">
        <f t="shared" si="5"/>
        <v>rokprognozy=2044 i lp=30</v>
      </c>
      <c r="AK33" s="37" t="str">
        <f t="shared" si="5"/>
        <v>rokprognozy=2045 i lp=30</v>
      </c>
      <c r="AL33" s="37" t="str">
        <f t="shared" si="5"/>
        <v>rokprognozy=2046 i lp=30</v>
      </c>
      <c r="AM33" s="37" t="str">
        <f t="shared" si="5"/>
        <v>rokprognozy=2047 i lp=30</v>
      </c>
      <c r="AN33" s="37" t="str">
        <f t="shared" si="5"/>
        <v>rokprognozy=2048 i lp=30</v>
      </c>
      <c r="AO33" s="37" t="str">
        <f t="shared" si="5"/>
        <v>rokprognozy=2049 i lp=30</v>
      </c>
      <c r="AP33" s="37" t="str">
        <f t="shared" si="5"/>
        <v>rokprognozy=2050 i lp=30</v>
      </c>
    </row>
    <row r="34" spans="1:42">
      <c r="A34" s="8">
        <v>31</v>
      </c>
      <c r="B34" s="39" t="s">
        <v>135</v>
      </c>
      <c r="C34" s="48" t="s">
        <v>118</v>
      </c>
      <c r="D34" s="25" t="str">
        <f t="shared" si="6"/>
        <v>rokprognozy=2012 i lp=31</v>
      </c>
      <c r="E34" s="25" t="str">
        <f t="shared" si="6"/>
        <v>rokprognozy=2013 i lp=31</v>
      </c>
      <c r="F34" s="37" t="str">
        <f t="shared" si="6"/>
        <v>rokprognozy=2014 i lp=31</v>
      </c>
      <c r="G34" s="37" t="str">
        <f t="shared" si="6"/>
        <v>rokprognozy=2015 i lp=31</v>
      </c>
      <c r="H34" s="37" t="str">
        <f t="shared" si="6"/>
        <v>rokprognozy=2016 i lp=31</v>
      </c>
      <c r="I34" s="37" t="str">
        <f t="shared" si="6"/>
        <v>rokprognozy=2017 i lp=31</v>
      </c>
      <c r="J34" s="37" t="str">
        <f t="shared" si="6"/>
        <v>rokprognozy=2018 i lp=31</v>
      </c>
      <c r="K34" s="37" t="str">
        <f t="shared" si="6"/>
        <v>rokprognozy=2019 i lp=31</v>
      </c>
      <c r="L34" s="37" t="str">
        <f t="shared" si="6"/>
        <v>rokprognozy=2020 i lp=31</v>
      </c>
      <c r="M34" s="37" t="str">
        <f t="shared" si="7"/>
        <v>rokprognozy=2021 i lp=31</v>
      </c>
      <c r="N34" s="37" t="str">
        <f t="shared" si="7"/>
        <v>rokprognozy=2022 i lp=31</v>
      </c>
      <c r="O34" s="37" t="str">
        <f t="shared" si="7"/>
        <v>rokprognozy=2023 i lp=31</v>
      </c>
      <c r="P34" s="37" t="str">
        <f t="shared" si="7"/>
        <v>rokprognozy=2024 i lp=31</v>
      </c>
      <c r="Q34" s="37" t="str">
        <f t="shared" si="7"/>
        <v>rokprognozy=2025 i lp=31</v>
      </c>
      <c r="R34" s="37" t="str">
        <f t="shared" si="7"/>
        <v>rokprognozy=2026 i lp=31</v>
      </c>
      <c r="S34" s="37" t="str">
        <f t="shared" si="7"/>
        <v>rokprognozy=2027 i lp=31</v>
      </c>
      <c r="T34" s="37" t="str">
        <f t="shared" si="7"/>
        <v>rokprognozy=2028 i lp=31</v>
      </c>
      <c r="U34" s="37" t="str">
        <f t="shared" si="7"/>
        <v>rokprognozy=2029 i lp=31</v>
      </c>
      <c r="V34" s="37" t="str">
        <f t="shared" si="7"/>
        <v>rokprognozy=2030 i lp=31</v>
      </c>
      <c r="W34" s="37" t="str">
        <f t="shared" si="7"/>
        <v>rokprognozy=2031 i lp=31</v>
      </c>
      <c r="X34" s="37" t="str">
        <f t="shared" si="7"/>
        <v>rokprognozy=2032 i lp=31</v>
      </c>
      <c r="Y34" s="37" t="str">
        <f t="shared" si="7"/>
        <v>rokprognozy=2033 i lp=31</v>
      </c>
      <c r="Z34" s="37" t="str">
        <f t="shared" si="7"/>
        <v>rokprognozy=2034 i lp=31</v>
      </c>
      <c r="AA34" s="37" t="str">
        <f t="shared" si="7"/>
        <v>rokprognozy=2035 i lp=31</v>
      </c>
      <c r="AB34" s="37" t="str">
        <f t="shared" si="7"/>
        <v>rokprognozy=2036 i lp=31</v>
      </c>
      <c r="AC34" s="37" t="str">
        <f t="shared" ref="AC34:AP52" si="8">+"rokprognozy="&amp;AC$3&amp;" i lp="&amp;$A34</f>
        <v>rokprognozy=2037 i lp=31</v>
      </c>
      <c r="AD34" s="37" t="str">
        <f t="shared" si="8"/>
        <v>rokprognozy=2038 i lp=31</v>
      </c>
      <c r="AE34" s="37" t="str">
        <f t="shared" si="8"/>
        <v>rokprognozy=2039 i lp=31</v>
      </c>
      <c r="AF34" s="37" t="str">
        <f t="shared" si="8"/>
        <v>rokprognozy=2040 i lp=31</v>
      </c>
      <c r="AG34" s="37" t="str">
        <f t="shared" si="8"/>
        <v>rokprognozy=2041 i lp=31</v>
      </c>
      <c r="AH34" s="37" t="str">
        <f t="shared" si="8"/>
        <v>rokprognozy=2042 i lp=31</v>
      </c>
      <c r="AI34" s="37" t="str">
        <f t="shared" si="8"/>
        <v>rokprognozy=2043 i lp=31</v>
      </c>
      <c r="AJ34" s="37" t="str">
        <f t="shared" si="8"/>
        <v>rokprognozy=2044 i lp=31</v>
      </c>
      <c r="AK34" s="37" t="str">
        <f t="shared" si="8"/>
        <v>rokprognozy=2045 i lp=31</v>
      </c>
      <c r="AL34" s="37" t="str">
        <f t="shared" si="8"/>
        <v>rokprognozy=2046 i lp=31</v>
      </c>
      <c r="AM34" s="37" t="str">
        <f t="shared" si="8"/>
        <v>rokprognozy=2047 i lp=31</v>
      </c>
      <c r="AN34" s="37" t="str">
        <f t="shared" si="8"/>
        <v>rokprognozy=2048 i lp=31</v>
      </c>
      <c r="AO34" s="37" t="str">
        <f t="shared" si="8"/>
        <v>rokprognozy=2049 i lp=31</v>
      </c>
      <c r="AP34" s="37" t="str">
        <f t="shared" si="8"/>
        <v>rokprognozy=2050 i lp=31</v>
      </c>
    </row>
    <row r="35" spans="1:42">
      <c r="A35" s="8">
        <v>32</v>
      </c>
      <c r="B35" s="39">
        <v>12</v>
      </c>
      <c r="C35" s="48" t="s">
        <v>136</v>
      </c>
      <c r="D35" s="25" t="str">
        <f t="shared" si="6"/>
        <v>rokprognozy=2012 i lp=32</v>
      </c>
      <c r="E35" s="25" t="str">
        <f t="shared" si="6"/>
        <v>rokprognozy=2013 i lp=32</v>
      </c>
      <c r="F35" s="37" t="str">
        <f t="shared" si="6"/>
        <v>rokprognozy=2014 i lp=32</v>
      </c>
      <c r="G35" s="37" t="str">
        <f t="shared" si="6"/>
        <v>rokprognozy=2015 i lp=32</v>
      </c>
      <c r="H35" s="37" t="str">
        <f t="shared" si="6"/>
        <v>rokprognozy=2016 i lp=32</v>
      </c>
      <c r="I35" s="37" t="str">
        <f t="shared" si="6"/>
        <v>rokprognozy=2017 i lp=32</v>
      </c>
      <c r="J35" s="37" t="str">
        <f t="shared" si="6"/>
        <v>rokprognozy=2018 i lp=32</v>
      </c>
      <c r="K35" s="37" t="str">
        <f t="shared" si="6"/>
        <v>rokprognozy=2019 i lp=32</v>
      </c>
      <c r="L35" s="37" t="str">
        <f t="shared" si="6"/>
        <v>rokprognozy=2020 i lp=32</v>
      </c>
      <c r="M35" s="37" t="str">
        <f t="shared" si="7"/>
        <v>rokprognozy=2021 i lp=32</v>
      </c>
      <c r="N35" s="37" t="str">
        <f t="shared" si="7"/>
        <v>rokprognozy=2022 i lp=32</v>
      </c>
      <c r="O35" s="37" t="str">
        <f t="shared" si="7"/>
        <v>rokprognozy=2023 i lp=32</v>
      </c>
      <c r="P35" s="37" t="str">
        <f t="shared" si="7"/>
        <v>rokprognozy=2024 i lp=32</v>
      </c>
      <c r="Q35" s="37" t="str">
        <f t="shared" si="7"/>
        <v>rokprognozy=2025 i lp=32</v>
      </c>
      <c r="R35" s="37" t="str">
        <f t="shared" si="7"/>
        <v>rokprognozy=2026 i lp=32</v>
      </c>
      <c r="S35" s="37" t="str">
        <f t="shared" si="7"/>
        <v>rokprognozy=2027 i lp=32</v>
      </c>
      <c r="T35" s="37" t="str">
        <f t="shared" si="7"/>
        <v>rokprognozy=2028 i lp=32</v>
      </c>
      <c r="U35" s="37" t="str">
        <f t="shared" si="7"/>
        <v>rokprognozy=2029 i lp=32</v>
      </c>
      <c r="V35" s="37" t="str">
        <f t="shared" si="7"/>
        <v>rokprognozy=2030 i lp=32</v>
      </c>
      <c r="W35" s="37" t="str">
        <f t="shared" si="7"/>
        <v>rokprognozy=2031 i lp=32</v>
      </c>
      <c r="X35" s="37" t="str">
        <f t="shared" si="7"/>
        <v>rokprognozy=2032 i lp=32</v>
      </c>
      <c r="Y35" s="37" t="str">
        <f t="shared" si="7"/>
        <v>rokprognozy=2033 i lp=32</v>
      </c>
      <c r="Z35" s="37" t="str">
        <f t="shared" si="7"/>
        <v>rokprognozy=2034 i lp=32</v>
      </c>
      <c r="AA35" s="37" t="str">
        <f t="shared" si="7"/>
        <v>rokprognozy=2035 i lp=32</v>
      </c>
      <c r="AB35" s="37" t="str">
        <f t="shared" si="7"/>
        <v>rokprognozy=2036 i lp=32</v>
      </c>
      <c r="AC35" s="37" t="str">
        <f t="shared" si="8"/>
        <v>rokprognozy=2037 i lp=32</v>
      </c>
      <c r="AD35" s="37" t="str">
        <f t="shared" si="8"/>
        <v>rokprognozy=2038 i lp=32</v>
      </c>
      <c r="AE35" s="37" t="str">
        <f t="shared" si="8"/>
        <v>rokprognozy=2039 i lp=32</v>
      </c>
      <c r="AF35" s="37" t="str">
        <f t="shared" si="8"/>
        <v>rokprognozy=2040 i lp=32</v>
      </c>
      <c r="AG35" s="37" t="str">
        <f t="shared" si="8"/>
        <v>rokprognozy=2041 i lp=32</v>
      </c>
      <c r="AH35" s="37" t="str">
        <f t="shared" si="8"/>
        <v>rokprognozy=2042 i lp=32</v>
      </c>
      <c r="AI35" s="37" t="str">
        <f t="shared" si="8"/>
        <v>rokprognozy=2043 i lp=32</v>
      </c>
      <c r="AJ35" s="37" t="str">
        <f t="shared" si="8"/>
        <v>rokprognozy=2044 i lp=32</v>
      </c>
      <c r="AK35" s="37" t="str">
        <f t="shared" si="8"/>
        <v>rokprognozy=2045 i lp=32</v>
      </c>
      <c r="AL35" s="37" t="str">
        <f t="shared" si="8"/>
        <v>rokprognozy=2046 i lp=32</v>
      </c>
      <c r="AM35" s="37" t="str">
        <f t="shared" si="8"/>
        <v>rokprognozy=2047 i lp=32</v>
      </c>
      <c r="AN35" s="37" t="str">
        <f t="shared" si="8"/>
        <v>rokprognozy=2048 i lp=32</v>
      </c>
      <c r="AO35" s="37" t="str">
        <f t="shared" si="8"/>
        <v>rokprognozy=2049 i lp=32</v>
      </c>
      <c r="AP35" s="37" t="str">
        <f t="shared" si="8"/>
        <v>rokprognozy=2050 i lp=32</v>
      </c>
    </row>
    <row r="36" spans="1:42">
      <c r="A36" s="8">
        <v>33</v>
      </c>
      <c r="B36" s="39">
        <v>13</v>
      </c>
      <c r="C36" s="48" t="s">
        <v>66</v>
      </c>
      <c r="D36" s="25" t="str">
        <f t="shared" si="6"/>
        <v>rokprognozy=2012 i lp=33</v>
      </c>
      <c r="E36" s="25" t="str">
        <f t="shared" si="6"/>
        <v>rokprognozy=2013 i lp=33</v>
      </c>
      <c r="F36" s="37" t="str">
        <f t="shared" si="6"/>
        <v>rokprognozy=2014 i lp=33</v>
      </c>
      <c r="G36" s="37" t="str">
        <f t="shared" si="6"/>
        <v>rokprognozy=2015 i lp=33</v>
      </c>
      <c r="H36" s="37" t="str">
        <f t="shared" si="6"/>
        <v>rokprognozy=2016 i lp=33</v>
      </c>
      <c r="I36" s="37" t="str">
        <f t="shared" si="6"/>
        <v>rokprognozy=2017 i lp=33</v>
      </c>
      <c r="J36" s="37" t="str">
        <f t="shared" si="6"/>
        <v>rokprognozy=2018 i lp=33</v>
      </c>
      <c r="K36" s="37" t="str">
        <f t="shared" si="6"/>
        <v>rokprognozy=2019 i lp=33</v>
      </c>
      <c r="L36" s="37" t="str">
        <f t="shared" si="6"/>
        <v>rokprognozy=2020 i lp=33</v>
      </c>
      <c r="M36" s="37" t="str">
        <f t="shared" si="7"/>
        <v>rokprognozy=2021 i lp=33</v>
      </c>
      <c r="N36" s="37" t="str">
        <f t="shared" si="7"/>
        <v>rokprognozy=2022 i lp=33</v>
      </c>
      <c r="O36" s="37" t="str">
        <f t="shared" si="7"/>
        <v>rokprognozy=2023 i lp=33</v>
      </c>
      <c r="P36" s="37" t="str">
        <f t="shared" si="7"/>
        <v>rokprognozy=2024 i lp=33</v>
      </c>
      <c r="Q36" s="37" t="str">
        <f t="shared" si="7"/>
        <v>rokprognozy=2025 i lp=33</v>
      </c>
      <c r="R36" s="37" t="str">
        <f t="shared" si="7"/>
        <v>rokprognozy=2026 i lp=33</v>
      </c>
      <c r="S36" s="37" t="str">
        <f t="shared" si="7"/>
        <v>rokprognozy=2027 i lp=33</v>
      </c>
      <c r="T36" s="37" t="str">
        <f t="shared" si="7"/>
        <v>rokprognozy=2028 i lp=33</v>
      </c>
      <c r="U36" s="37" t="str">
        <f t="shared" si="7"/>
        <v>rokprognozy=2029 i lp=33</v>
      </c>
      <c r="V36" s="37" t="str">
        <f t="shared" si="7"/>
        <v>rokprognozy=2030 i lp=33</v>
      </c>
      <c r="W36" s="37" t="str">
        <f t="shared" si="7"/>
        <v>rokprognozy=2031 i lp=33</v>
      </c>
      <c r="X36" s="37" t="str">
        <f t="shared" si="7"/>
        <v>rokprognozy=2032 i lp=33</v>
      </c>
      <c r="Y36" s="37" t="str">
        <f t="shared" si="7"/>
        <v>rokprognozy=2033 i lp=33</v>
      </c>
      <c r="Z36" s="37" t="str">
        <f t="shared" si="7"/>
        <v>rokprognozy=2034 i lp=33</v>
      </c>
      <c r="AA36" s="37" t="str">
        <f t="shared" si="7"/>
        <v>rokprognozy=2035 i lp=33</v>
      </c>
      <c r="AB36" s="37" t="str">
        <f t="shared" si="7"/>
        <v>rokprognozy=2036 i lp=33</v>
      </c>
      <c r="AC36" s="37" t="str">
        <f t="shared" si="8"/>
        <v>rokprognozy=2037 i lp=33</v>
      </c>
      <c r="AD36" s="37" t="str">
        <f t="shared" si="8"/>
        <v>rokprognozy=2038 i lp=33</v>
      </c>
      <c r="AE36" s="37" t="str">
        <f t="shared" si="8"/>
        <v>rokprognozy=2039 i lp=33</v>
      </c>
      <c r="AF36" s="37" t="str">
        <f t="shared" si="8"/>
        <v>rokprognozy=2040 i lp=33</v>
      </c>
      <c r="AG36" s="37" t="str">
        <f t="shared" si="8"/>
        <v>rokprognozy=2041 i lp=33</v>
      </c>
      <c r="AH36" s="37" t="str">
        <f t="shared" si="8"/>
        <v>rokprognozy=2042 i lp=33</v>
      </c>
      <c r="AI36" s="37" t="str">
        <f t="shared" si="8"/>
        <v>rokprognozy=2043 i lp=33</v>
      </c>
      <c r="AJ36" s="37" t="str">
        <f t="shared" si="8"/>
        <v>rokprognozy=2044 i lp=33</v>
      </c>
      <c r="AK36" s="37" t="str">
        <f t="shared" si="8"/>
        <v>rokprognozy=2045 i lp=33</v>
      </c>
      <c r="AL36" s="37" t="str">
        <f t="shared" si="8"/>
        <v>rokprognozy=2046 i lp=33</v>
      </c>
      <c r="AM36" s="37" t="str">
        <f t="shared" si="8"/>
        <v>rokprognozy=2047 i lp=33</v>
      </c>
      <c r="AN36" s="37" t="str">
        <f t="shared" si="8"/>
        <v>rokprognozy=2048 i lp=33</v>
      </c>
      <c r="AO36" s="37" t="str">
        <f t="shared" si="8"/>
        <v>rokprognozy=2049 i lp=33</v>
      </c>
      <c r="AP36" s="37" t="str">
        <f t="shared" si="8"/>
        <v>rokprognozy=2050 i lp=33</v>
      </c>
    </row>
    <row r="37" spans="1:42" ht="24">
      <c r="A37" s="8">
        <v>34</v>
      </c>
      <c r="B37" s="39" t="s">
        <v>137</v>
      </c>
      <c r="C37" s="48" t="s">
        <v>138</v>
      </c>
      <c r="D37" s="25" t="str">
        <f t="shared" si="6"/>
        <v>rokprognozy=2012 i lp=34</v>
      </c>
      <c r="E37" s="25" t="str">
        <f t="shared" si="6"/>
        <v>rokprognozy=2013 i lp=34</v>
      </c>
      <c r="F37" s="37" t="str">
        <f t="shared" si="6"/>
        <v>rokprognozy=2014 i lp=34</v>
      </c>
      <c r="G37" s="37" t="str">
        <f t="shared" si="6"/>
        <v>rokprognozy=2015 i lp=34</v>
      </c>
      <c r="H37" s="37" t="str">
        <f t="shared" si="6"/>
        <v>rokprognozy=2016 i lp=34</v>
      </c>
      <c r="I37" s="37" t="str">
        <f t="shared" si="6"/>
        <v>rokprognozy=2017 i lp=34</v>
      </c>
      <c r="J37" s="37" t="str">
        <f t="shared" si="6"/>
        <v>rokprognozy=2018 i lp=34</v>
      </c>
      <c r="K37" s="37" t="str">
        <f t="shared" si="6"/>
        <v>rokprognozy=2019 i lp=34</v>
      </c>
      <c r="L37" s="37" t="str">
        <f t="shared" si="6"/>
        <v>rokprognozy=2020 i lp=34</v>
      </c>
      <c r="M37" s="37" t="str">
        <f t="shared" si="7"/>
        <v>rokprognozy=2021 i lp=34</v>
      </c>
      <c r="N37" s="37" t="str">
        <f t="shared" si="7"/>
        <v>rokprognozy=2022 i lp=34</v>
      </c>
      <c r="O37" s="37" t="str">
        <f t="shared" si="7"/>
        <v>rokprognozy=2023 i lp=34</v>
      </c>
      <c r="P37" s="37" t="str">
        <f t="shared" si="7"/>
        <v>rokprognozy=2024 i lp=34</v>
      </c>
      <c r="Q37" s="37" t="str">
        <f t="shared" si="7"/>
        <v>rokprognozy=2025 i lp=34</v>
      </c>
      <c r="R37" s="37" t="str">
        <f t="shared" si="7"/>
        <v>rokprognozy=2026 i lp=34</v>
      </c>
      <c r="S37" s="37" t="str">
        <f t="shared" si="7"/>
        <v>rokprognozy=2027 i lp=34</v>
      </c>
      <c r="T37" s="37" t="str">
        <f t="shared" si="7"/>
        <v>rokprognozy=2028 i lp=34</v>
      </c>
      <c r="U37" s="37" t="str">
        <f t="shared" si="7"/>
        <v>rokprognozy=2029 i lp=34</v>
      </c>
      <c r="V37" s="37" t="str">
        <f t="shared" si="7"/>
        <v>rokprognozy=2030 i lp=34</v>
      </c>
      <c r="W37" s="37" t="str">
        <f t="shared" si="7"/>
        <v>rokprognozy=2031 i lp=34</v>
      </c>
      <c r="X37" s="37" t="str">
        <f t="shared" si="7"/>
        <v>rokprognozy=2032 i lp=34</v>
      </c>
      <c r="Y37" s="37" t="str">
        <f t="shared" si="7"/>
        <v>rokprognozy=2033 i lp=34</v>
      </c>
      <c r="Z37" s="37" t="str">
        <f t="shared" si="7"/>
        <v>rokprognozy=2034 i lp=34</v>
      </c>
      <c r="AA37" s="37" t="str">
        <f t="shared" si="7"/>
        <v>rokprognozy=2035 i lp=34</v>
      </c>
      <c r="AB37" s="37" t="str">
        <f t="shared" si="7"/>
        <v>rokprognozy=2036 i lp=34</v>
      </c>
      <c r="AC37" s="37" t="str">
        <f t="shared" si="8"/>
        <v>rokprognozy=2037 i lp=34</v>
      </c>
      <c r="AD37" s="37" t="str">
        <f t="shared" si="8"/>
        <v>rokprognozy=2038 i lp=34</v>
      </c>
      <c r="AE37" s="37" t="str">
        <f t="shared" si="8"/>
        <v>rokprognozy=2039 i lp=34</v>
      </c>
      <c r="AF37" s="37" t="str">
        <f t="shared" si="8"/>
        <v>rokprognozy=2040 i lp=34</v>
      </c>
      <c r="AG37" s="37" t="str">
        <f t="shared" si="8"/>
        <v>rokprognozy=2041 i lp=34</v>
      </c>
      <c r="AH37" s="37" t="str">
        <f t="shared" si="8"/>
        <v>rokprognozy=2042 i lp=34</v>
      </c>
      <c r="AI37" s="37" t="str">
        <f t="shared" si="8"/>
        <v>rokprognozy=2043 i lp=34</v>
      </c>
      <c r="AJ37" s="37" t="str">
        <f t="shared" si="8"/>
        <v>rokprognozy=2044 i lp=34</v>
      </c>
      <c r="AK37" s="37" t="str">
        <f t="shared" si="8"/>
        <v>rokprognozy=2045 i lp=34</v>
      </c>
      <c r="AL37" s="37" t="str">
        <f t="shared" si="8"/>
        <v>rokprognozy=2046 i lp=34</v>
      </c>
      <c r="AM37" s="37" t="str">
        <f t="shared" si="8"/>
        <v>rokprognozy=2047 i lp=34</v>
      </c>
      <c r="AN37" s="37" t="str">
        <f t="shared" si="8"/>
        <v>rokprognozy=2048 i lp=34</v>
      </c>
      <c r="AO37" s="37" t="str">
        <f t="shared" si="8"/>
        <v>rokprognozy=2049 i lp=34</v>
      </c>
      <c r="AP37" s="37" t="str">
        <f t="shared" si="8"/>
        <v>rokprognozy=2050 i lp=34</v>
      </c>
    </row>
    <row r="38" spans="1:42">
      <c r="A38" s="8">
        <v>35</v>
      </c>
      <c r="B38" s="39">
        <v>14</v>
      </c>
      <c r="C38" s="48" t="s">
        <v>68</v>
      </c>
      <c r="D38" s="25" t="str">
        <f t="shared" si="6"/>
        <v>rokprognozy=2012 i lp=35</v>
      </c>
      <c r="E38" s="25" t="str">
        <f t="shared" si="6"/>
        <v>rokprognozy=2013 i lp=35</v>
      </c>
      <c r="F38" s="37" t="str">
        <f t="shared" si="6"/>
        <v>rokprognozy=2014 i lp=35</v>
      </c>
      <c r="G38" s="37" t="str">
        <f t="shared" si="6"/>
        <v>rokprognozy=2015 i lp=35</v>
      </c>
      <c r="H38" s="37" t="str">
        <f t="shared" si="6"/>
        <v>rokprognozy=2016 i lp=35</v>
      </c>
      <c r="I38" s="37" t="str">
        <f t="shared" si="6"/>
        <v>rokprognozy=2017 i lp=35</v>
      </c>
      <c r="J38" s="37" t="str">
        <f t="shared" si="6"/>
        <v>rokprognozy=2018 i lp=35</v>
      </c>
      <c r="K38" s="37" t="str">
        <f t="shared" si="6"/>
        <v>rokprognozy=2019 i lp=35</v>
      </c>
      <c r="L38" s="37" t="str">
        <f t="shared" si="6"/>
        <v>rokprognozy=2020 i lp=35</v>
      </c>
      <c r="M38" s="37" t="str">
        <f t="shared" si="7"/>
        <v>rokprognozy=2021 i lp=35</v>
      </c>
      <c r="N38" s="37" t="str">
        <f t="shared" si="7"/>
        <v>rokprognozy=2022 i lp=35</v>
      </c>
      <c r="O38" s="37" t="str">
        <f t="shared" si="7"/>
        <v>rokprognozy=2023 i lp=35</v>
      </c>
      <c r="P38" s="37" t="str">
        <f t="shared" si="7"/>
        <v>rokprognozy=2024 i lp=35</v>
      </c>
      <c r="Q38" s="37" t="str">
        <f t="shared" si="7"/>
        <v>rokprognozy=2025 i lp=35</v>
      </c>
      <c r="R38" s="37" t="str">
        <f t="shared" si="7"/>
        <v>rokprognozy=2026 i lp=35</v>
      </c>
      <c r="S38" s="37" t="str">
        <f t="shared" si="7"/>
        <v>rokprognozy=2027 i lp=35</v>
      </c>
      <c r="T38" s="37" t="str">
        <f t="shared" si="7"/>
        <v>rokprognozy=2028 i lp=35</v>
      </c>
      <c r="U38" s="37" t="str">
        <f t="shared" si="7"/>
        <v>rokprognozy=2029 i lp=35</v>
      </c>
      <c r="V38" s="37" t="str">
        <f t="shared" si="7"/>
        <v>rokprognozy=2030 i lp=35</v>
      </c>
      <c r="W38" s="37" t="str">
        <f t="shared" si="7"/>
        <v>rokprognozy=2031 i lp=35</v>
      </c>
      <c r="X38" s="37" t="str">
        <f t="shared" si="7"/>
        <v>rokprognozy=2032 i lp=35</v>
      </c>
      <c r="Y38" s="37" t="str">
        <f t="shared" si="7"/>
        <v>rokprognozy=2033 i lp=35</v>
      </c>
      <c r="Z38" s="37" t="str">
        <f t="shared" si="7"/>
        <v>rokprognozy=2034 i lp=35</v>
      </c>
      <c r="AA38" s="37" t="str">
        <f t="shared" si="7"/>
        <v>rokprognozy=2035 i lp=35</v>
      </c>
      <c r="AB38" s="37" t="str">
        <f t="shared" si="7"/>
        <v>rokprognozy=2036 i lp=35</v>
      </c>
      <c r="AC38" s="37" t="str">
        <f t="shared" si="8"/>
        <v>rokprognozy=2037 i lp=35</v>
      </c>
      <c r="AD38" s="37" t="str">
        <f t="shared" si="8"/>
        <v>rokprognozy=2038 i lp=35</v>
      </c>
      <c r="AE38" s="37" t="str">
        <f t="shared" si="8"/>
        <v>rokprognozy=2039 i lp=35</v>
      </c>
      <c r="AF38" s="37" t="str">
        <f t="shared" si="8"/>
        <v>rokprognozy=2040 i lp=35</v>
      </c>
      <c r="AG38" s="37" t="str">
        <f t="shared" si="8"/>
        <v>rokprognozy=2041 i lp=35</v>
      </c>
      <c r="AH38" s="37" t="str">
        <f t="shared" si="8"/>
        <v>rokprognozy=2042 i lp=35</v>
      </c>
      <c r="AI38" s="37" t="str">
        <f t="shared" si="8"/>
        <v>rokprognozy=2043 i lp=35</v>
      </c>
      <c r="AJ38" s="37" t="str">
        <f t="shared" si="8"/>
        <v>rokprognozy=2044 i lp=35</v>
      </c>
      <c r="AK38" s="37" t="str">
        <f t="shared" si="8"/>
        <v>rokprognozy=2045 i lp=35</v>
      </c>
      <c r="AL38" s="37" t="str">
        <f t="shared" si="8"/>
        <v>rokprognozy=2046 i lp=35</v>
      </c>
      <c r="AM38" s="37" t="str">
        <f t="shared" si="8"/>
        <v>rokprognozy=2047 i lp=35</v>
      </c>
      <c r="AN38" s="37" t="str">
        <f t="shared" si="8"/>
        <v>rokprognozy=2048 i lp=35</v>
      </c>
      <c r="AO38" s="37" t="str">
        <f t="shared" si="8"/>
        <v>rokprognozy=2049 i lp=35</v>
      </c>
      <c r="AP38" s="37" t="str">
        <f t="shared" si="8"/>
        <v>rokprognozy=2050 i lp=35</v>
      </c>
    </row>
    <row r="39" spans="1:42" ht="36">
      <c r="A39" s="8">
        <v>36</v>
      </c>
      <c r="B39" s="39">
        <v>15</v>
      </c>
      <c r="C39" s="48" t="s">
        <v>139</v>
      </c>
      <c r="D39" s="25" t="str">
        <f t="shared" si="6"/>
        <v>rokprognozy=2012 i lp=36</v>
      </c>
      <c r="E39" s="25" t="str">
        <f t="shared" si="6"/>
        <v>rokprognozy=2013 i lp=36</v>
      </c>
      <c r="F39" s="37" t="str">
        <f t="shared" si="6"/>
        <v>rokprognozy=2014 i lp=36</v>
      </c>
      <c r="G39" s="37" t="str">
        <f t="shared" si="6"/>
        <v>rokprognozy=2015 i lp=36</v>
      </c>
      <c r="H39" s="37" t="str">
        <f t="shared" si="6"/>
        <v>rokprognozy=2016 i lp=36</v>
      </c>
      <c r="I39" s="37" t="str">
        <f t="shared" si="6"/>
        <v>rokprognozy=2017 i lp=36</v>
      </c>
      <c r="J39" s="37" t="str">
        <f t="shared" si="6"/>
        <v>rokprognozy=2018 i lp=36</v>
      </c>
      <c r="K39" s="37" t="str">
        <f t="shared" si="6"/>
        <v>rokprognozy=2019 i lp=36</v>
      </c>
      <c r="L39" s="37" t="str">
        <f t="shared" si="6"/>
        <v>rokprognozy=2020 i lp=36</v>
      </c>
      <c r="M39" s="37" t="str">
        <f t="shared" si="7"/>
        <v>rokprognozy=2021 i lp=36</v>
      </c>
      <c r="N39" s="37" t="str">
        <f t="shared" si="7"/>
        <v>rokprognozy=2022 i lp=36</v>
      </c>
      <c r="O39" s="37" t="str">
        <f t="shared" si="7"/>
        <v>rokprognozy=2023 i lp=36</v>
      </c>
      <c r="P39" s="37" t="str">
        <f t="shared" si="7"/>
        <v>rokprognozy=2024 i lp=36</v>
      </c>
      <c r="Q39" s="37" t="str">
        <f t="shared" si="7"/>
        <v>rokprognozy=2025 i lp=36</v>
      </c>
      <c r="R39" s="37" t="str">
        <f t="shared" si="7"/>
        <v>rokprognozy=2026 i lp=36</v>
      </c>
      <c r="S39" s="37" t="str">
        <f t="shared" si="7"/>
        <v>rokprognozy=2027 i lp=36</v>
      </c>
      <c r="T39" s="37" t="str">
        <f t="shared" si="7"/>
        <v>rokprognozy=2028 i lp=36</v>
      </c>
      <c r="U39" s="37" t="str">
        <f t="shared" si="7"/>
        <v>rokprognozy=2029 i lp=36</v>
      </c>
      <c r="V39" s="37" t="str">
        <f t="shared" si="7"/>
        <v>rokprognozy=2030 i lp=36</v>
      </c>
      <c r="W39" s="37" t="str">
        <f t="shared" si="7"/>
        <v>rokprognozy=2031 i lp=36</v>
      </c>
      <c r="X39" s="37" t="str">
        <f t="shared" si="7"/>
        <v>rokprognozy=2032 i lp=36</v>
      </c>
      <c r="Y39" s="37" t="str">
        <f t="shared" si="7"/>
        <v>rokprognozy=2033 i lp=36</v>
      </c>
      <c r="Z39" s="37" t="str">
        <f t="shared" si="7"/>
        <v>rokprognozy=2034 i lp=36</v>
      </c>
      <c r="AA39" s="37" t="str">
        <f t="shared" si="7"/>
        <v>rokprognozy=2035 i lp=36</v>
      </c>
      <c r="AB39" s="37" t="str">
        <f t="shared" si="7"/>
        <v>rokprognozy=2036 i lp=36</v>
      </c>
      <c r="AC39" s="37" t="str">
        <f t="shared" si="8"/>
        <v>rokprognozy=2037 i lp=36</v>
      </c>
      <c r="AD39" s="37" t="str">
        <f t="shared" si="8"/>
        <v>rokprognozy=2038 i lp=36</v>
      </c>
      <c r="AE39" s="37" t="str">
        <f t="shared" si="8"/>
        <v>rokprognozy=2039 i lp=36</v>
      </c>
      <c r="AF39" s="37" t="str">
        <f t="shared" si="8"/>
        <v>rokprognozy=2040 i lp=36</v>
      </c>
      <c r="AG39" s="37" t="str">
        <f t="shared" si="8"/>
        <v>rokprognozy=2041 i lp=36</v>
      </c>
      <c r="AH39" s="37" t="str">
        <f t="shared" si="8"/>
        <v>rokprognozy=2042 i lp=36</v>
      </c>
      <c r="AI39" s="37" t="str">
        <f t="shared" si="8"/>
        <v>rokprognozy=2043 i lp=36</v>
      </c>
      <c r="AJ39" s="37" t="str">
        <f t="shared" si="8"/>
        <v>rokprognozy=2044 i lp=36</v>
      </c>
      <c r="AK39" s="37" t="str">
        <f t="shared" si="8"/>
        <v>rokprognozy=2045 i lp=36</v>
      </c>
      <c r="AL39" s="37" t="str">
        <f t="shared" si="8"/>
        <v>rokprognozy=2046 i lp=36</v>
      </c>
      <c r="AM39" s="37" t="str">
        <f t="shared" si="8"/>
        <v>rokprognozy=2047 i lp=36</v>
      </c>
      <c r="AN39" s="37" t="str">
        <f t="shared" si="8"/>
        <v>rokprognozy=2048 i lp=36</v>
      </c>
      <c r="AO39" s="37" t="str">
        <f t="shared" si="8"/>
        <v>rokprognozy=2049 i lp=36</v>
      </c>
      <c r="AP39" s="37" t="str">
        <f t="shared" si="8"/>
        <v>rokprognozy=2050 i lp=36</v>
      </c>
    </row>
    <row r="40" spans="1:42" ht="24">
      <c r="A40" s="8">
        <v>37</v>
      </c>
      <c r="B40" s="39">
        <v>16</v>
      </c>
      <c r="C40" s="48" t="s">
        <v>140</v>
      </c>
      <c r="D40" s="25" t="str">
        <f t="shared" si="6"/>
        <v>rokprognozy=2012 i lp=37</v>
      </c>
      <c r="E40" s="25" t="str">
        <f t="shared" si="6"/>
        <v>rokprognozy=2013 i lp=37</v>
      </c>
      <c r="F40" s="37" t="str">
        <f t="shared" si="6"/>
        <v>rokprognozy=2014 i lp=37</v>
      </c>
      <c r="G40" s="37" t="str">
        <f t="shared" si="6"/>
        <v>rokprognozy=2015 i lp=37</v>
      </c>
      <c r="H40" s="37" t="str">
        <f t="shared" si="6"/>
        <v>rokprognozy=2016 i lp=37</v>
      </c>
      <c r="I40" s="37" t="str">
        <f t="shared" si="6"/>
        <v>rokprognozy=2017 i lp=37</v>
      </c>
      <c r="J40" s="37" t="str">
        <f t="shared" si="6"/>
        <v>rokprognozy=2018 i lp=37</v>
      </c>
      <c r="K40" s="37" t="str">
        <f t="shared" si="6"/>
        <v>rokprognozy=2019 i lp=37</v>
      </c>
      <c r="L40" s="37" t="str">
        <f t="shared" si="6"/>
        <v>rokprognozy=2020 i lp=37</v>
      </c>
      <c r="M40" s="37" t="str">
        <f t="shared" si="7"/>
        <v>rokprognozy=2021 i lp=37</v>
      </c>
      <c r="N40" s="37" t="str">
        <f t="shared" si="7"/>
        <v>rokprognozy=2022 i lp=37</v>
      </c>
      <c r="O40" s="37" t="str">
        <f t="shared" si="7"/>
        <v>rokprognozy=2023 i lp=37</v>
      </c>
      <c r="P40" s="37" t="str">
        <f t="shared" si="7"/>
        <v>rokprognozy=2024 i lp=37</v>
      </c>
      <c r="Q40" s="37" t="str">
        <f t="shared" si="7"/>
        <v>rokprognozy=2025 i lp=37</v>
      </c>
      <c r="R40" s="37" t="str">
        <f t="shared" si="7"/>
        <v>rokprognozy=2026 i lp=37</v>
      </c>
      <c r="S40" s="37" t="str">
        <f t="shared" si="7"/>
        <v>rokprognozy=2027 i lp=37</v>
      </c>
      <c r="T40" s="37" t="str">
        <f t="shared" si="7"/>
        <v>rokprognozy=2028 i lp=37</v>
      </c>
      <c r="U40" s="37" t="str">
        <f t="shared" si="7"/>
        <v>rokprognozy=2029 i lp=37</v>
      </c>
      <c r="V40" s="37" t="str">
        <f t="shared" si="7"/>
        <v>rokprognozy=2030 i lp=37</v>
      </c>
      <c r="W40" s="37" t="str">
        <f t="shared" si="7"/>
        <v>rokprognozy=2031 i lp=37</v>
      </c>
      <c r="X40" s="37" t="str">
        <f t="shared" si="7"/>
        <v>rokprognozy=2032 i lp=37</v>
      </c>
      <c r="Y40" s="37" t="str">
        <f t="shared" si="7"/>
        <v>rokprognozy=2033 i lp=37</v>
      </c>
      <c r="Z40" s="37" t="str">
        <f t="shared" si="7"/>
        <v>rokprognozy=2034 i lp=37</v>
      </c>
      <c r="AA40" s="37" t="str">
        <f t="shared" si="7"/>
        <v>rokprognozy=2035 i lp=37</v>
      </c>
      <c r="AB40" s="37" t="str">
        <f t="shared" si="7"/>
        <v>rokprognozy=2036 i lp=37</v>
      </c>
      <c r="AC40" s="37" t="str">
        <f t="shared" si="8"/>
        <v>rokprognozy=2037 i lp=37</v>
      </c>
      <c r="AD40" s="37" t="str">
        <f t="shared" si="8"/>
        <v>rokprognozy=2038 i lp=37</v>
      </c>
      <c r="AE40" s="37" t="str">
        <f t="shared" si="8"/>
        <v>rokprognozy=2039 i lp=37</v>
      </c>
      <c r="AF40" s="37" t="str">
        <f t="shared" si="8"/>
        <v>rokprognozy=2040 i lp=37</v>
      </c>
      <c r="AG40" s="37" t="str">
        <f t="shared" si="8"/>
        <v>rokprognozy=2041 i lp=37</v>
      </c>
      <c r="AH40" s="37" t="str">
        <f t="shared" si="8"/>
        <v>rokprognozy=2042 i lp=37</v>
      </c>
      <c r="AI40" s="37" t="str">
        <f t="shared" si="8"/>
        <v>rokprognozy=2043 i lp=37</v>
      </c>
      <c r="AJ40" s="37" t="str">
        <f t="shared" si="8"/>
        <v>rokprognozy=2044 i lp=37</v>
      </c>
      <c r="AK40" s="37" t="str">
        <f t="shared" si="8"/>
        <v>rokprognozy=2045 i lp=37</v>
      </c>
      <c r="AL40" s="37" t="str">
        <f t="shared" si="8"/>
        <v>rokprognozy=2046 i lp=37</v>
      </c>
      <c r="AM40" s="37" t="str">
        <f t="shared" si="8"/>
        <v>rokprognozy=2047 i lp=37</v>
      </c>
      <c r="AN40" s="37" t="str">
        <f t="shared" si="8"/>
        <v>rokprognozy=2048 i lp=37</v>
      </c>
      <c r="AO40" s="37" t="str">
        <f t="shared" si="8"/>
        <v>rokprognozy=2049 i lp=37</v>
      </c>
      <c r="AP40" s="37" t="str">
        <f t="shared" si="8"/>
        <v>rokprognozy=2050 i lp=37</v>
      </c>
    </row>
    <row r="41" spans="1:42">
      <c r="A41" s="8">
        <v>38</v>
      </c>
      <c r="B41" s="39">
        <v>17</v>
      </c>
      <c r="C41" s="48" t="s">
        <v>91</v>
      </c>
      <c r="D41" s="25" t="str">
        <f t="shared" si="6"/>
        <v>rokprognozy=2012 i lp=38</v>
      </c>
      <c r="E41" s="25" t="str">
        <f t="shared" si="6"/>
        <v>rokprognozy=2013 i lp=38</v>
      </c>
      <c r="F41" s="37" t="str">
        <f t="shared" si="6"/>
        <v>rokprognozy=2014 i lp=38</v>
      </c>
      <c r="G41" s="37" t="str">
        <f t="shared" si="6"/>
        <v>rokprognozy=2015 i lp=38</v>
      </c>
      <c r="H41" s="37" t="str">
        <f t="shared" si="6"/>
        <v>rokprognozy=2016 i lp=38</v>
      </c>
      <c r="I41" s="37" t="str">
        <f t="shared" si="6"/>
        <v>rokprognozy=2017 i lp=38</v>
      </c>
      <c r="J41" s="37" t="str">
        <f t="shared" si="6"/>
        <v>rokprognozy=2018 i lp=38</v>
      </c>
      <c r="K41" s="37" t="str">
        <f t="shared" si="6"/>
        <v>rokprognozy=2019 i lp=38</v>
      </c>
      <c r="L41" s="37" t="str">
        <f t="shared" si="6"/>
        <v>rokprognozy=2020 i lp=38</v>
      </c>
      <c r="M41" s="37" t="str">
        <f t="shared" si="7"/>
        <v>rokprognozy=2021 i lp=38</v>
      </c>
      <c r="N41" s="37" t="str">
        <f t="shared" si="7"/>
        <v>rokprognozy=2022 i lp=38</v>
      </c>
      <c r="O41" s="37" t="str">
        <f t="shared" si="7"/>
        <v>rokprognozy=2023 i lp=38</v>
      </c>
      <c r="P41" s="37" t="str">
        <f t="shared" si="7"/>
        <v>rokprognozy=2024 i lp=38</v>
      </c>
      <c r="Q41" s="37" t="str">
        <f t="shared" si="7"/>
        <v>rokprognozy=2025 i lp=38</v>
      </c>
      <c r="R41" s="37" t="str">
        <f t="shared" si="7"/>
        <v>rokprognozy=2026 i lp=38</v>
      </c>
      <c r="S41" s="37" t="str">
        <f t="shared" si="7"/>
        <v>rokprognozy=2027 i lp=38</v>
      </c>
      <c r="T41" s="37" t="str">
        <f t="shared" si="7"/>
        <v>rokprognozy=2028 i lp=38</v>
      </c>
      <c r="U41" s="37" t="str">
        <f t="shared" si="7"/>
        <v>rokprognozy=2029 i lp=38</v>
      </c>
      <c r="V41" s="37" t="str">
        <f t="shared" si="7"/>
        <v>rokprognozy=2030 i lp=38</v>
      </c>
      <c r="W41" s="37" t="str">
        <f t="shared" si="7"/>
        <v>rokprognozy=2031 i lp=38</v>
      </c>
      <c r="X41" s="37" t="str">
        <f t="shared" si="7"/>
        <v>rokprognozy=2032 i lp=38</v>
      </c>
      <c r="Y41" s="37" t="str">
        <f t="shared" si="7"/>
        <v>rokprognozy=2033 i lp=38</v>
      </c>
      <c r="Z41" s="37" t="str">
        <f t="shared" si="7"/>
        <v>rokprognozy=2034 i lp=38</v>
      </c>
      <c r="AA41" s="37" t="str">
        <f t="shared" si="7"/>
        <v>rokprognozy=2035 i lp=38</v>
      </c>
      <c r="AB41" s="37" t="str">
        <f t="shared" si="7"/>
        <v>rokprognozy=2036 i lp=38</v>
      </c>
      <c r="AC41" s="37" t="str">
        <f t="shared" si="8"/>
        <v>rokprognozy=2037 i lp=38</v>
      </c>
      <c r="AD41" s="37" t="str">
        <f t="shared" si="8"/>
        <v>rokprognozy=2038 i lp=38</v>
      </c>
      <c r="AE41" s="37" t="str">
        <f t="shared" si="8"/>
        <v>rokprognozy=2039 i lp=38</v>
      </c>
      <c r="AF41" s="37" t="str">
        <f t="shared" si="8"/>
        <v>rokprognozy=2040 i lp=38</v>
      </c>
      <c r="AG41" s="37" t="str">
        <f t="shared" si="8"/>
        <v>rokprognozy=2041 i lp=38</v>
      </c>
      <c r="AH41" s="37" t="str">
        <f t="shared" si="8"/>
        <v>rokprognozy=2042 i lp=38</v>
      </c>
      <c r="AI41" s="37" t="str">
        <f t="shared" si="8"/>
        <v>rokprognozy=2043 i lp=38</v>
      </c>
      <c r="AJ41" s="37" t="str">
        <f t="shared" si="8"/>
        <v>rokprognozy=2044 i lp=38</v>
      </c>
      <c r="AK41" s="37" t="str">
        <f t="shared" si="8"/>
        <v>rokprognozy=2045 i lp=38</v>
      </c>
      <c r="AL41" s="37" t="str">
        <f t="shared" si="8"/>
        <v>rokprognozy=2046 i lp=38</v>
      </c>
      <c r="AM41" s="37" t="str">
        <f t="shared" si="8"/>
        <v>rokprognozy=2047 i lp=38</v>
      </c>
      <c r="AN41" s="37" t="str">
        <f t="shared" si="8"/>
        <v>rokprognozy=2048 i lp=38</v>
      </c>
      <c r="AO41" s="37" t="str">
        <f t="shared" si="8"/>
        <v>rokprognozy=2049 i lp=38</v>
      </c>
      <c r="AP41" s="37" t="str">
        <f t="shared" si="8"/>
        <v>rokprognozy=2050 i lp=38</v>
      </c>
    </row>
    <row r="42" spans="1:42">
      <c r="A42" s="8">
        <v>39</v>
      </c>
      <c r="B42" s="39" t="s">
        <v>141</v>
      </c>
      <c r="C42" s="48" t="s">
        <v>142</v>
      </c>
      <c r="D42" s="25" t="str">
        <f t="shared" si="6"/>
        <v>rokprognozy=2012 i lp=39</v>
      </c>
      <c r="E42" s="25" t="str">
        <f t="shared" si="6"/>
        <v>rokprognozy=2013 i lp=39</v>
      </c>
      <c r="F42" s="37" t="str">
        <f t="shared" si="6"/>
        <v>rokprognozy=2014 i lp=39</v>
      </c>
      <c r="G42" s="37" t="str">
        <f t="shared" si="6"/>
        <v>rokprognozy=2015 i lp=39</v>
      </c>
      <c r="H42" s="37" t="str">
        <f t="shared" si="6"/>
        <v>rokprognozy=2016 i lp=39</v>
      </c>
      <c r="I42" s="37" t="str">
        <f t="shared" si="6"/>
        <v>rokprognozy=2017 i lp=39</v>
      </c>
      <c r="J42" s="37" t="str">
        <f t="shared" si="6"/>
        <v>rokprognozy=2018 i lp=39</v>
      </c>
      <c r="K42" s="37" t="str">
        <f t="shared" si="6"/>
        <v>rokprognozy=2019 i lp=39</v>
      </c>
      <c r="L42" s="37" t="str">
        <f t="shared" si="6"/>
        <v>rokprognozy=2020 i lp=39</v>
      </c>
      <c r="M42" s="37" t="str">
        <f t="shared" si="7"/>
        <v>rokprognozy=2021 i lp=39</v>
      </c>
      <c r="N42" s="37" t="str">
        <f t="shared" si="7"/>
        <v>rokprognozy=2022 i lp=39</v>
      </c>
      <c r="O42" s="37" t="str">
        <f t="shared" si="7"/>
        <v>rokprognozy=2023 i lp=39</v>
      </c>
      <c r="P42" s="37" t="str">
        <f t="shared" si="7"/>
        <v>rokprognozy=2024 i lp=39</v>
      </c>
      <c r="Q42" s="37" t="str">
        <f t="shared" si="7"/>
        <v>rokprognozy=2025 i lp=39</v>
      </c>
      <c r="R42" s="37" t="str">
        <f t="shared" si="7"/>
        <v>rokprognozy=2026 i lp=39</v>
      </c>
      <c r="S42" s="37" t="str">
        <f t="shared" si="7"/>
        <v>rokprognozy=2027 i lp=39</v>
      </c>
      <c r="T42" s="37" t="str">
        <f t="shared" si="7"/>
        <v>rokprognozy=2028 i lp=39</v>
      </c>
      <c r="U42" s="37" t="str">
        <f t="shared" si="7"/>
        <v>rokprognozy=2029 i lp=39</v>
      </c>
      <c r="V42" s="37" t="str">
        <f t="shared" si="7"/>
        <v>rokprognozy=2030 i lp=39</v>
      </c>
      <c r="W42" s="37" t="str">
        <f t="shared" si="7"/>
        <v>rokprognozy=2031 i lp=39</v>
      </c>
      <c r="X42" s="37" t="str">
        <f t="shared" si="7"/>
        <v>rokprognozy=2032 i lp=39</v>
      </c>
      <c r="Y42" s="37" t="str">
        <f t="shared" si="7"/>
        <v>rokprognozy=2033 i lp=39</v>
      </c>
      <c r="Z42" s="37" t="str">
        <f t="shared" si="7"/>
        <v>rokprognozy=2034 i lp=39</v>
      </c>
      <c r="AA42" s="37" t="str">
        <f t="shared" si="7"/>
        <v>rokprognozy=2035 i lp=39</v>
      </c>
      <c r="AB42" s="37" t="str">
        <f t="shared" si="7"/>
        <v>rokprognozy=2036 i lp=39</v>
      </c>
      <c r="AC42" s="37" t="str">
        <f t="shared" si="8"/>
        <v>rokprognozy=2037 i lp=39</v>
      </c>
      <c r="AD42" s="37" t="str">
        <f t="shared" si="8"/>
        <v>rokprognozy=2038 i lp=39</v>
      </c>
      <c r="AE42" s="37" t="str">
        <f t="shared" si="8"/>
        <v>rokprognozy=2039 i lp=39</v>
      </c>
      <c r="AF42" s="37" t="str">
        <f t="shared" si="8"/>
        <v>rokprognozy=2040 i lp=39</v>
      </c>
      <c r="AG42" s="37" t="str">
        <f t="shared" si="8"/>
        <v>rokprognozy=2041 i lp=39</v>
      </c>
      <c r="AH42" s="37" t="str">
        <f t="shared" si="8"/>
        <v>rokprognozy=2042 i lp=39</v>
      </c>
      <c r="AI42" s="37" t="str">
        <f t="shared" si="8"/>
        <v>rokprognozy=2043 i lp=39</v>
      </c>
      <c r="AJ42" s="37" t="str">
        <f t="shared" si="8"/>
        <v>rokprognozy=2044 i lp=39</v>
      </c>
      <c r="AK42" s="37" t="str">
        <f t="shared" si="8"/>
        <v>rokprognozy=2045 i lp=39</v>
      </c>
      <c r="AL42" s="37" t="str">
        <f t="shared" si="8"/>
        <v>rokprognozy=2046 i lp=39</v>
      </c>
      <c r="AM42" s="37" t="str">
        <f t="shared" si="8"/>
        <v>rokprognozy=2047 i lp=39</v>
      </c>
      <c r="AN42" s="37" t="str">
        <f t="shared" si="8"/>
        <v>rokprognozy=2048 i lp=39</v>
      </c>
      <c r="AO42" s="37" t="str">
        <f t="shared" si="8"/>
        <v>rokprognozy=2049 i lp=39</v>
      </c>
      <c r="AP42" s="37" t="str">
        <f t="shared" si="8"/>
        <v>rokprognozy=2050 i lp=39</v>
      </c>
    </row>
    <row r="43" spans="1:42">
      <c r="A43" s="8">
        <v>40</v>
      </c>
      <c r="B43" s="39">
        <v>18</v>
      </c>
      <c r="C43" s="48" t="s">
        <v>69</v>
      </c>
      <c r="D43" s="25" t="str">
        <f t="shared" si="6"/>
        <v>rokprognozy=2012 i lp=40</v>
      </c>
      <c r="E43" s="25" t="str">
        <f t="shared" si="6"/>
        <v>rokprognozy=2013 i lp=40</v>
      </c>
      <c r="F43" s="37" t="str">
        <f t="shared" si="6"/>
        <v>rokprognozy=2014 i lp=40</v>
      </c>
      <c r="G43" s="37" t="str">
        <f t="shared" si="6"/>
        <v>rokprognozy=2015 i lp=40</v>
      </c>
      <c r="H43" s="37" t="str">
        <f t="shared" si="6"/>
        <v>rokprognozy=2016 i lp=40</v>
      </c>
      <c r="I43" s="37" t="str">
        <f t="shared" si="6"/>
        <v>rokprognozy=2017 i lp=40</v>
      </c>
      <c r="J43" s="37" t="str">
        <f t="shared" si="6"/>
        <v>rokprognozy=2018 i lp=40</v>
      </c>
      <c r="K43" s="37" t="str">
        <f t="shared" si="6"/>
        <v>rokprognozy=2019 i lp=40</v>
      </c>
      <c r="L43" s="37" t="str">
        <f t="shared" si="6"/>
        <v>rokprognozy=2020 i lp=40</v>
      </c>
      <c r="M43" s="37" t="str">
        <f t="shared" si="7"/>
        <v>rokprognozy=2021 i lp=40</v>
      </c>
      <c r="N43" s="37" t="str">
        <f t="shared" si="7"/>
        <v>rokprognozy=2022 i lp=40</v>
      </c>
      <c r="O43" s="37" t="str">
        <f t="shared" si="7"/>
        <v>rokprognozy=2023 i lp=40</v>
      </c>
      <c r="P43" s="37" t="str">
        <f t="shared" si="7"/>
        <v>rokprognozy=2024 i lp=40</v>
      </c>
      <c r="Q43" s="37" t="str">
        <f t="shared" si="7"/>
        <v>rokprognozy=2025 i lp=40</v>
      </c>
      <c r="R43" s="37" t="str">
        <f t="shared" si="7"/>
        <v>rokprognozy=2026 i lp=40</v>
      </c>
      <c r="S43" s="37" t="str">
        <f t="shared" si="7"/>
        <v>rokprognozy=2027 i lp=40</v>
      </c>
      <c r="T43" s="37" t="str">
        <f t="shared" si="7"/>
        <v>rokprognozy=2028 i lp=40</v>
      </c>
      <c r="U43" s="37" t="str">
        <f t="shared" si="7"/>
        <v>rokprognozy=2029 i lp=40</v>
      </c>
      <c r="V43" s="37" t="str">
        <f t="shared" si="7"/>
        <v>rokprognozy=2030 i lp=40</v>
      </c>
      <c r="W43" s="37" t="str">
        <f t="shared" si="7"/>
        <v>rokprognozy=2031 i lp=40</v>
      </c>
      <c r="X43" s="37" t="str">
        <f t="shared" si="7"/>
        <v>rokprognozy=2032 i lp=40</v>
      </c>
      <c r="Y43" s="37" t="str">
        <f t="shared" si="7"/>
        <v>rokprognozy=2033 i lp=40</v>
      </c>
      <c r="Z43" s="37" t="str">
        <f t="shared" si="7"/>
        <v>rokprognozy=2034 i lp=40</v>
      </c>
      <c r="AA43" s="37" t="str">
        <f t="shared" si="7"/>
        <v>rokprognozy=2035 i lp=40</v>
      </c>
      <c r="AB43" s="37" t="str">
        <f t="shared" si="7"/>
        <v>rokprognozy=2036 i lp=40</v>
      </c>
      <c r="AC43" s="37" t="str">
        <f t="shared" si="8"/>
        <v>rokprognozy=2037 i lp=40</v>
      </c>
      <c r="AD43" s="37" t="str">
        <f t="shared" si="8"/>
        <v>rokprognozy=2038 i lp=40</v>
      </c>
      <c r="AE43" s="37" t="str">
        <f t="shared" si="8"/>
        <v>rokprognozy=2039 i lp=40</v>
      </c>
      <c r="AF43" s="37" t="str">
        <f t="shared" si="8"/>
        <v>rokprognozy=2040 i lp=40</v>
      </c>
      <c r="AG43" s="37" t="str">
        <f t="shared" si="8"/>
        <v>rokprognozy=2041 i lp=40</v>
      </c>
      <c r="AH43" s="37" t="str">
        <f t="shared" si="8"/>
        <v>rokprognozy=2042 i lp=40</v>
      </c>
      <c r="AI43" s="37" t="str">
        <f t="shared" si="8"/>
        <v>rokprognozy=2043 i lp=40</v>
      </c>
      <c r="AJ43" s="37" t="str">
        <f t="shared" si="8"/>
        <v>rokprognozy=2044 i lp=40</v>
      </c>
      <c r="AK43" s="37" t="str">
        <f t="shared" si="8"/>
        <v>rokprognozy=2045 i lp=40</v>
      </c>
      <c r="AL43" s="37" t="str">
        <f t="shared" si="8"/>
        <v>rokprognozy=2046 i lp=40</v>
      </c>
      <c r="AM43" s="37" t="str">
        <f t="shared" si="8"/>
        <v>rokprognozy=2047 i lp=40</v>
      </c>
      <c r="AN43" s="37" t="str">
        <f t="shared" si="8"/>
        <v>rokprognozy=2048 i lp=40</v>
      </c>
      <c r="AO43" s="37" t="str">
        <f t="shared" si="8"/>
        <v>rokprognozy=2049 i lp=40</v>
      </c>
      <c r="AP43" s="37" t="str">
        <f t="shared" si="8"/>
        <v>rokprognozy=2050 i lp=40</v>
      </c>
    </row>
    <row r="44" spans="1:42" ht="24">
      <c r="A44" s="8">
        <v>41</v>
      </c>
      <c r="B44" s="39" t="s">
        <v>143</v>
      </c>
      <c r="C44" s="48" t="s">
        <v>71</v>
      </c>
      <c r="D44" s="25" t="str">
        <f t="shared" si="6"/>
        <v>rokprognozy=2012 i lp=41</v>
      </c>
      <c r="E44" s="25" t="str">
        <f t="shared" si="6"/>
        <v>rokprognozy=2013 i lp=41</v>
      </c>
      <c r="F44" s="37" t="str">
        <f t="shared" si="6"/>
        <v>rokprognozy=2014 i lp=41</v>
      </c>
      <c r="G44" s="37" t="str">
        <f t="shared" si="6"/>
        <v>rokprognozy=2015 i lp=41</v>
      </c>
      <c r="H44" s="37" t="str">
        <f t="shared" si="6"/>
        <v>rokprognozy=2016 i lp=41</v>
      </c>
      <c r="I44" s="37" t="str">
        <f t="shared" si="6"/>
        <v>rokprognozy=2017 i lp=41</v>
      </c>
      <c r="J44" s="37" t="str">
        <f t="shared" si="6"/>
        <v>rokprognozy=2018 i lp=41</v>
      </c>
      <c r="K44" s="37" t="str">
        <f t="shared" si="6"/>
        <v>rokprognozy=2019 i lp=41</v>
      </c>
      <c r="L44" s="37" t="str">
        <f t="shared" si="6"/>
        <v>rokprognozy=2020 i lp=41</v>
      </c>
      <c r="M44" s="37" t="str">
        <f t="shared" si="7"/>
        <v>rokprognozy=2021 i lp=41</v>
      </c>
      <c r="N44" s="37" t="str">
        <f t="shared" si="7"/>
        <v>rokprognozy=2022 i lp=41</v>
      </c>
      <c r="O44" s="37" t="str">
        <f t="shared" si="7"/>
        <v>rokprognozy=2023 i lp=41</v>
      </c>
      <c r="P44" s="37" t="str">
        <f t="shared" si="7"/>
        <v>rokprognozy=2024 i lp=41</v>
      </c>
      <c r="Q44" s="37" t="str">
        <f t="shared" si="7"/>
        <v>rokprognozy=2025 i lp=41</v>
      </c>
      <c r="R44" s="37" t="str">
        <f t="shared" si="7"/>
        <v>rokprognozy=2026 i lp=41</v>
      </c>
      <c r="S44" s="37" t="str">
        <f t="shared" si="7"/>
        <v>rokprognozy=2027 i lp=41</v>
      </c>
      <c r="T44" s="37" t="str">
        <f t="shared" si="7"/>
        <v>rokprognozy=2028 i lp=41</v>
      </c>
      <c r="U44" s="37" t="str">
        <f t="shared" si="7"/>
        <v>rokprognozy=2029 i lp=41</v>
      </c>
      <c r="V44" s="37" t="str">
        <f t="shared" si="7"/>
        <v>rokprognozy=2030 i lp=41</v>
      </c>
      <c r="W44" s="37" t="str">
        <f t="shared" si="7"/>
        <v>rokprognozy=2031 i lp=41</v>
      </c>
      <c r="X44" s="37" t="str">
        <f t="shared" si="7"/>
        <v>rokprognozy=2032 i lp=41</v>
      </c>
      <c r="Y44" s="37" t="str">
        <f t="shared" si="7"/>
        <v>rokprognozy=2033 i lp=41</v>
      </c>
      <c r="Z44" s="37" t="str">
        <f t="shared" si="7"/>
        <v>rokprognozy=2034 i lp=41</v>
      </c>
      <c r="AA44" s="37" t="str">
        <f t="shared" si="7"/>
        <v>rokprognozy=2035 i lp=41</v>
      </c>
      <c r="AB44" s="37" t="str">
        <f t="shared" si="7"/>
        <v>rokprognozy=2036 i lp=41</v>
      </c>
      <c r="AC44" s="37" t="str">
        <f t="shared" si="8"/>
        <v>rokprognozy=2037 i lp=41</v>
      </c>
      <c r="AD44" s="37" t="str">
        <f t="shared" si="8"/>
        <v>rokprognozy=2038 i lp=41</v>
      </c>
      <c r="AE44" s="37" t="str">
        <f t="shared" si="8"/>
        <v>rokprognozy=2039 i lp=41</v>
      </c>
      <c r="AF44" s="37" t="str">
        <f t="shared" si="8"/>
        <v>rokprognozy=2040 i lp=41</v>
      </c>
      <c r="AG44" s="37" t="str">
        <f t="shared" si="8"/>
        <v>rokprognozy=2041 i lp=41</v>
      </c>
      <c r="AH44" s="37" t="str">
        <f t="shared" si="8"/>
        <v>rokprognozy=2042 i lp=41</v>
      </c>
      <c r="AI44" s="37" t="str">
        <f t="shared" si="8"/>
        <v>rokprognozy=2043 i lp=41</v>
      </c>
      <c r="AJ44" s="37" t="str">
        <f t="shared" si="8"/>
        <v>rokprognozy=2044 i lp=41</v>
      </c>
      <c r="AK44" s="37" t="str">
        <f t="shared" si="8"/>
        <v>rokprognozy=2045 i lp=41</v>
      </c>
      <c r="AL44" s="37" t="str">
        <f t="shared" si="8"/>
        <v>rokprognozy=2046 i lp=41</v>
      </c>
      <c r="AM44" s="37" t="str">
        <f t="shared" si="8"/>
        <v>rokprognozy=2047 i lp=41</v>
      </c>
      <c r="AN44" s="37" t="str">
        <f t="shared" si="8"/>
        <v>rokprognozy=2048 i lp=41</v>
      </c>
      <c r="AO44" s="37" t="str">
        <f t="shared" si="8"/>
        <v>rokprognozy=2049 i lp=41</v>
      </c>
      <c r="AP44" s="37" t="str">
        <f t="shared" si="8"/>
        <v>rokprognozy=2050 i lp=41</v>
      </c>
    </row>
    <row r="45" spans="1:42" ht="24">
      <c r="A45" s="8">
        <v>42</v>
      </c>
      <c r="B45" s="39">
        <v>19</v>
      </c>
      <c r="C45" s="48" t="s">
        <v>72</v>
      </c>
      <c r="D45" s="25" t="str">
        <f t="shared" si="6"/>
        <v>rokprognozy=2012 i lp=42</v>
      </c>
      <c r="E45" s="25" t="str">
        <f t="shared" si="6"/>
        <v>rokprognozy=2013 i lp=42</v>
      </c>
      <c r="F45" s="37" t="str">
        <f t="shared" si="6"/>
        <v>rokprognozy=2014 i lp=42</v>
      </c>
      <c r="G45" s="37" t="str">
        <f t="shared" si="6"/>
        <v>rokprognozy=2015 i lp=42</v>
      </c>
      <c r="H45" s="37" t="str">
        <f t="shared" si="6"/>
        <v>rokprognozy=2016 i lp=42</v>
      </c>
      <c r="I45" s="37" t="str">
        <f t="shared" si="6"/>
        <v>rokprognozy=2017 i lp=42</v>
      </c>
      <c r="J45" s="37" t="str">
        <f t="shared" si="6"/>
        <v>rokprognozy=2018 i lp=42</v>
      </c>
      <c r="K45" s="37" t="str">
        <f t="shared" si="6"/>
        <v>rokprognozy=2019 i lp=42</v>
      </c>
      <c r="L45" s="37" t="str">
        <f t="shared" si="6"/>
        <v>rokprognozy=2020 i lp=42</v>
      </c>
      <c r="M45" s="37" t="str">
        <f t="shared" si="7"/>
        <v>rokprognozy=2021 i lp=42</v>
      </c>
      <c r="N45" s="37" t="str">
        <f t="shared" si="7"/>
        <v>rokprognozy=2022 i lp=42</v>
      </c>
      <c r="O45" s="37" t="str">
        <f t="shared" si="7"/>
        <v>rokprognozy=2023 i lp=42</v>
      </c>
      <c r="P45" s="37" t="str">
        <f t="shared" si="7"/>
        <v>rokprognozy=2024 i lp=42</v>
      </c>
      <c r="Q45" s="37" t="str">
        <f t="shared" si="7"/>
        <v>rokprognozy=2025 i lp=42</v>
      </c>
      <c r="R45" s="37" t="str">
        <f t="shared" si="7"/>
        <v>rokprognozy=2026 i lp=42</v>
      </c>
      <c r="S45" s="37" t="str">
        <f t="shared" si="7"/>
        <v>rokprognozy=2027 i lp=42</v>
      </c>
      <c r="T45" s="37" t="str">
        <f t="shared" si="7"/>
        <v>rokprognozy=2028 i lp=42</v>
      </c>
      <c r="U45" s="37" t="str">
        <f t="shared" si="7"/>
        <v>rokprognozy=2029 i lp=42</v>
      </c>
      <c r="V45" s="37" t="str">
        <f t="shared" si="7"/>
        <v>rokprognozy=2030 i lp=42</v>
      </c>
      <c r="W45" s="37" t="str">
        <f t="shared" si="7"/>
        <v>rokprognozy=2031 i lp=42</v>
      </c>
      <c r="X45" s="37" t="str">
        <f t="shared" si="7"/>
        <v>rokprognozy=2032 i lp=42</v>
      </c>
      <c r="Y45" s="37" t="str">
        <f t="shared" si="7"/>
        <v>rokprognozy=2033 i lp=42</v>
      </c>
      <c r="Z45" s="37" t="str">
        <f t="shared" si="7"/>
        <v>rokprognozy=2034 i lp=42</v>
      </c>
      <c r="AA45" s="37" t="str">
        <f t="shared" si="7"/>
        <v>rokprognozy=2035 i lp=42</v>
      </c>
      <c r="AB45" s="37" t="str">
        <f t="shared" si="7"/>
        <v>rokprognozy=2036 i lp=42</v>
      </c>
      <c r="AC45" s="37" t="str">
        <f t="shared" si="8"/>
        <v>rokprognozy=2037 i lp=42</v>
      </c>
      <c r="AD45" s="37" t="str">
        <f t="shared" si="8"/>
        <v>rokprognozy=2038 i lp=42</v>
      </c>
      <c r="AE45" s="37" t="str">
        <f t="shared" si="8"/>
        <v>rokprognozy=2039 i lp=42</v>
      </c>
      <c r="AF45" s="37" t="str">
        <f t="shared" si="8"/>
        <v>rokprognozy=2040 i lp=42</v>
      </c>
      <c r="AG45" s="37" t="str">
        <f t="shared" si="8"/>
        <v>rokprognozy=2041 i lp=42</v>
      </c>
      <c r="AH45" s="37" t="str">
        <f t="shared" si="8"/>
        <v>rokprognozy=2042 i lp=42</v>
      </c>
      <c r="AI45" s="37" t="str">
        <f t="shared" si="8"/>
        <v>rokprognozy=2043 i lp=42</v>
      </c>
      <c r="AJ45" s="37" t="str">
        <f t="shared" si="8"/>
        <v>rokprognozy=2044 i lp=42</v>
      </c>
      <c r="AK45" s="37" t="str">
        <f t="shared" si="8"/>
        <v>rokprognozy=2045 i lp=42</v>
      </c>
      <c r="AL45" s="37" t="str">
        <f t="shared" si="8"/>
        <v>rokprognozy=2046 i lp=42</v>
      </c>
      <c r="AM45" s="37" t="str">
        <f t="shared" si="8"/>
        <v>rokprognozy=2047 i lp=42</v>
      </c>
      <c r="AN45" s="37" t="str">
        <f t="shared" si="8"/>
        <v>rokprognozy=2048 i lp=42</v>
      </c>
      <c r="AO45" s="37" t="str">
        <f t="shared" si="8"/>
        <v>rokprognozy=2049 i lp=42</v>
      </c>
      <c r="AP45" s="37" t="str">
        <f t="shared" si="8"/>
        <v>rokprognozy=2050 i lp=42</v>
      </c>
    </row>
    <row r="46" spans="1:42" ht="24">
      <c r="A46" s="8">
        <v>43</v>
      </c>
      <c r="B46" s="39" t="s">
        <v>144</v>
      </c>
      <c r="C46" s="48" t="s">
        <v>74</v>
      </c>
      <c r="D46" s="25" t="str">
        <f t="shared" ref="D46:L60" si="9">+"rokprognozy="&amp;D$3&amp;" i lp="&amp;$A46</f>
        <v>rokprognozy=2012 i lp=43</v>
      </c>
      <c r="E46" s="25" t="str">
        <f t="shared" si="9"/>
        <v>rokprognozy=2013 i lp=43</v>
      </c>
      <c r="F46" s="37" t="str">
        <f t="shared" si="9"/>
        <v>rokprognozy=2014 i lp=43</v>
      </c>
      <c r="G46" s="37" t="str">
        <f t="shared" si="9"/>
        <v>rokprognozy=2015 i lp=43</v>
      </c>
      <c r="H46" s="37" t="str">
        <f t="shared" si="9"/>
        <v>rokprognozy=2016 i lp=43</v>
      </c>
      <c r="I46" s="37" t="str">
        <f t="shared" si="9"/>
        <v>rokprognozy=2017 i lp=43</v>
      </c>
      <c r="J46" s="37" t="str">
        <f t="shared" si="9"/>
        <v>rokprognozy=2018 i lp=43</v>
      </c>
      <c r="K46" s="37" t="str">
        <f t="shared" si="9"/>
        <v>rokprognozy=2019 i lp=43</v>
      </c>
      <c r="L46" s="37" t="str">
        <f t="shared" si="9"/>
        <v>rokprognozy=2020 i lp=43</v>
      </c>
      <c r="M46" s="37" t="str">
        <f t="shared" si="7"/>
        <v>rokprognozy=2021 i lp=43</v>
      </c>
      <c r="N46" s="37" t="str">
        <f t="shared" si="7"/>
        <v>rokprognozy=2022 i lp=43</v>
      </c>
      <c r="O46" s="37" t="str">
        <f t="shared" si="7"/>
        <v>rokprognozy=2023 i lp=43</v>
      </c>
      <c r="P46" s="37" t="str">
        <f t="shared" si="7"/>
        <v>rokprognozy=2024 i lp=43</v>
      </c>
      <c r="Q46" s="37" t="str">
        <f t="shared" si="7"/>
        <v>rokprognozy=2025 i lp=43</v>
      </c>
      <c r="R46" s="37" t="str">
        <f t="shared" si="7"/>
        <v>rokprognozy=2026 i lp=43</v>
      </c>
      <c r="S46" s="37" t="str">
        <f t="shared" si="7"/>
        <v>rokprognozy=2027 i lp=43</v>
      </c>
      <c r="T46" s="37" t="str">
        <f t="shared" si="7"/>
        <v>rokprognozy=2028 i lp=43</v>
      </c>
      <c r="U46" s="37" t="str">
        <f t="shared" si="7"/>
        <v>rokprognozy=2029 i lp=43</v>
      </c>
      <c r="V46" s="37" t="str">
        <f t="shared" si="7"/>
        <v>rokprognozy=2030 i lp=43</v>
      </c>
      <c r="W46" s="37" t="str">
        <f t="shared" si="7"/>
        <v>rokprognozy=2031 i lp=43</v>
      </c>
      <c r="X46" s="37" t="str">
        <f t="shared" si="7"/>
        <v>rokprognozy=2032 i lp=43</v>
      </c>
      <c r="Y46" s="37" t="str">
        <f t="shared" si="7"/>
        <v>rokprognozy=2033 i lp=43</v>
      </c>
      <c r="Z46" s="37" t="str">
        <f t="shared" si="7"/>
        <v>rokprognozy=2034 i lp=43</v>
      </c>
      <c r="AA46" s="37" t="str">
        <f t="shared" si="7"/>
        <v>rokprognozy=2035 i lp=43</v>
      </c>
      <c r="AB46" s="37" t="str">
        <f t="shared" si="7"/>
        <v>rokprognozy=2036 i lp=43</v>
      </c>
      <c r="AC46" s="37" t="str">
        <f t="shared" si="8"/>
        <v>rokprognozy=2037 i lp=43</v>
      </c>
      <c r="AD46" s="37" t="str">
        <f t="shared" si="8"/>
        <v>rokprognozy=2038 i lp=43</v>
      </c>
      <c r="AE46" s="37" t="str">
        <f t="shared" si="8"/>
        <v>rokprognozy=2039 i lp=43</v>
      </c>
      <c r="AF46" s="37" t="str">
        <f t="shared" si="8"/>
        <v>rokprognozy=2040 i lp=43</v>
      </c>
      <c r="AG46" s="37" t="str">
        <f t="shared" si="8"/>
        <v>rokprognozy=2041 i lp=43</v>
      </c>
      <c r="AH46" s="37" t="str">
        <f t="shared" si="8"/>
        <v>rokprognozy=2042 i lp=43</v>
      </c>
      <c r="AI46" s="37" t="str">
        <f t="shared" si="8"/>
        <v>rokprognozy=2043 i lp=43</v>
      </c>
      <c r="AJ46" s="37" t="str">
        <f t="shared" si="8"/>
        <v>rokprognozy=2044 i lp=43</v>
      </c>
      <c r="AK46" s="37" t="str">
        <f t="shared" si="8"/>
        <v>rokprognozy=2045 i lp=43</v>
      </c>
      <c r="AL46" s="37" t="str">
        <f t="shared" si="8"/>
        <v>rokprognozy=2046 i lp=43</v>
      </c>
      <c r="AM46" s="37" t="str">
        <f t="shared" si="8"/>
        <v>rokprognozy=2047 i lp=43</v>
      </c>
      <c r="AN46" s="37" t="str">
        <f t="shared" si="8"/>
        <v>rokprognozy=2048 i lp=43</v>
      </c>
      <c r="AO46" s="37" t="str">
        <f t="shared" si="8"/>
        <v>rokprognozy=2049 i lp=43</v>
      </c>
      <c r="AP46" s="37" t="str">
        <f t="shared" si="8"/>
        <v>rokprognozy=2050 i lp=43</v>
      </c>
    </row>
    <row r="47" spans="1:42">
      <c r="A47" s="8">
        <v>44</v>
      </c>
      <c r="B47" s="39">
        <v>20</v>
      </c>
      <c r="C47" s="48" t="s">
        <v>145</v>
      </c>
      <c r="D47" s="25" t="str">
        <f t="shared" si="9"/>
        <v>rokprognozy=2012 i lp=44</v>
      </c>
      <c r="E47" s="25" t="str">
        <f t="shared" si="9"/>
        <v>rokprognozy=2013 i lp=44</v>
      </c>
      <c r="F47" s="37" t="str">
        <f t="shared" si="9"/>
        <v>rokprognozy=2014 i lp=44</v>
      </c>
      <c r="G47" s="37" t="str">
        <f t="shared" si="9"/>
        <v>rokprognozy=2015 i lp=44</v>
      </c>
      <c r="H47" s="37" t="str">
        <f t="shared" si="9"/>
        <v>rokprognozy=2016 i lp=44</v>
      </c>
      <c r="I47" s="37" t="str">
        <f t="shared" si="9"/>
        <v>rokprognozy=2017 i lp=44</v>
      </c>
      <c r="J47" s="37" t="str">
        <f t="shared" si="9"/>
        <v>rokprognozy=2018 i lp=44</v>
      </c>
      <c r="K47" s="37" t="str">
        <f t="shared" si="9"/>
        <v>rokprognozy=2019 i lp=44</v>
      </c>
      <c r="L47" s="37" t="str">
        <f t="shared" si="9"/>
        <v>rokprognozy=2020 i lp=44</v>
      </c>
      <c r="M47" s="37" t="str">
        <f t="shared" si="7"/>
        <v>rokprognozy=2021 i lp=44</v>
      </c>
      <c r="N47" s="37" t="str">
        <f t="shared" si="7"/>
        <v>rokprognozy=2022 i lp=44</v>
      </c>
      <c r="O47" s="37" t="str">
        <f t="shared" si="7"/>
        <v>rokprognozy=2023 i lp=44</v>
      </c>
      <c r="P47" s="37" t="str">
        <f t="shared" si="7"/>
        <v>rokprognozy=2024 i lp=44</v>
      </c>
      <c r="Q47" s="37" t="str">
        <f t="shared" si="7"/>
        <v>rokprognozy=2025 i lp=44</v>
      </c>
      <c r="R47" s="37" t="str">
        <f t="shared" si="7"/>
        <v>rokprognozy=2026 i lp=44</v>
      </c>
      <c r="S47" s="37" t="str">
        <f t="shared" si="7"/>
        <v>rokprognozy=2027 i lp=44</v>
      </c>
      <c r="T47" s="37" t="str">
        <f t="shared" si="7"/>
        <v>rokprognozy=2028 i lp=44</v>
      </c>
      <c r="U47" s="37" t="str">
        <f t="shared" si="7"/>
        <v>rokprognozy=2029 i lp=44</v>
      </c>
      <c r="V47" s="37" t="str">
        <f t="shared" si="7"/>
        <v>rokprognozy=2030 i lp=44</v>
      </c>
      <c r="W47" s="37" t="str">
        <f t="shared" si="7"/>
        <v>rokprognozy=2031 i lp=44</v>
      </c>
      <c r="X47" s="37" t="str">
        <f t="shared" si="7"/>
        <v>rokprognozy=2032 i lp=44</v>
      </c>
      <c r="Y47" s="37" t="str">
        <f t="shared" si="7"/>
        <v>rokprognozy=2033 i lp=44</v>
      </c>
      <c r="Z47" s="37" t="str">
        <f t="shared" si="7"/>
        <v>rokprognozy=2034 i lp=44</v>
      </c>
      <c r="AA47" s="37" t="str">
        <f t="shared" si="7"/>
        <v>rokprognozy=2035 i lp=44</v>
      </c>
      <c r="AB47" s="37" t="str">
        <f t="shared" si="7"/>
        <v>rokprognozy=2036 i lp=44</v>
      </c>
      <c r="AC47" s="37" t="str">
        <f t="shared" si="8"/>
        <v>rokprognozy=2037 i lp=44</v>
      </c>
      <c r="AD47" s="37" t="str">
        <f t="shared" si="8"/>
        <v>rokprognozy=2038 i lp=44</v>
      </c>
      <c r="AE47" s="37" t="str">
        <f t="shared" si="8"/>
        <v>rokprognozy=2039 i lp=44</v>
      </c>
      <c r="AF47" s="37" t="str">
        <f t="shared" si="8"/>
        <v>rokprognozy=2040 i lp=44</v>
      </c>
      <c r="AG47" s="37" t="str">
        <f t="shared" si="8"/>
        <v>rokprognozy=2041 i lp=44</v>
      </c>
      <c r="AH47" s="37" t="str">
        <f t="shared" si="8"/>
        <v>rokprognozy=2042 i lp=44</v>
      </c>
      <c r="AI47" s="37" t="str">
        <f t="shared" si="8"/>
        <v>rokprognozy=2043 i lp=44</v>
      </c>
      <c r="AJ47" s="37" t="str">
        <f t="shared" si="8"/>
        <v>rokprognozy=2044 i lp=44</v>
      </c>
      <c r="AK47" s="37" t="str">
        <f t="shared" si="8"/>
        <v>rokprognozy=2045 i lp=44</v>
      </c>
      <c r="AL47" s="37" t="str">
        <f t="shared" si="8"/>
        <v>rokprognozy=2046 i lp=44</v>
      </c>
      <c r="AM47" s="37" t="str">
        <f t="shared" si="8"/>
        <v>rokprognozy=2047 i lp=44</v>
      </c>
      <c r="AN47" s="37" t="str">
        <f t="shared" si="8"/>
        <v>rokprognozy=2048 i lp=44</v>
      </c>
      <c r="AO47" s="37" t="str">
        <f t="shared" si="8"/>
        <v>rokprognozy=2049 i lp=44</v>
      </c>
      <c r="AP47" s="37" t="str">
        <f t="shared" si="8"/>
        <v>rokprognozy=2050 i lp=44</v>
      </c>
    </row>
    <row r="48" spans="1:42">
      <c r="A48" s="8">
        <v>45</v>
      </c>
      <c r="B48" s="39" t="s">
        <v>146</v>
      </c>
      <c r="C48" s="48" t="s">
        <v>53</v>
      </c>
      <c r="D48" s="25" t="str">
        <f t="shared" si="9"/>
        <v>rokprognozy=2012 i lp=45</v>
      </c>
      <c r="E48" s="25" t="str">
        <f t="shared" si="9"/>
        <v>rokprognozy=2013 i lp=45</v>
      </c>
      <c r="F48" s="37" t="str">
        <f t="shared" si="9"/>
        <v>rokprognozy=2014 i lp=45</v>
      </c>
      <c r="G48" s="37" t="str">
        <f t="shared" si="9"/>
        <v>rokprognozy=2015 i lp=45</v>
      </c>
      <c r="H48" s="37" t="str">
        <f t="shared" si="9"/>
        <v>rokprognozy=2016 i lp=45</v>
      </c>
      <c r="I48" s="37" t="str">
        <f t="shared" si="9"/>
        <v>rokprognozy=2017 i lp=45</v>
      </c>
      <c r="J48" s="37" t="str">
        <f t="shared" si="9"/>
        <v>rokprognozy=2018 i lp=45</v>
      </c>
      <c r="K48" s="37" t="str">
        <f t="shared" si="9"/>
        <v>rokprognozy=2019 i lp=45</v>
      </c>
      <c r="L48" s="37" t="str">
        <f t="shared" si="9"/>
        <v>rokprognozy=2020 i lp=45</v>
      </c>
      <c r="M48" s="37" t="str">
        <f t="shared" si="7"/>
        <v>rokprognozy=2021 i lp=45</v>
      </c>
      <c r="N48" s="37" t="str">
        <f t="shared" si="7"/>
        <v>rokprognozy=2022 i lp=45</v>
      </c>
      <c r="O48" s="37" t="str">
        <f t="shared" si="7"/>
        <v>rokprognozy=2023 i lp=45</v>
      </c>
      <c r="P48" s="37" t="str">
        <f t="shared" si="7"/>
        <v>rokprognozy=2024 i lp=45</v>
      </c>
      <c r="Q48" s="37" t="str">
        <f t="shared" si="7"/>
        <v>rokprognozy=2025 i lp=45</v>
      </c>
      <c r="R48" s="37" t="str">
        <f t="shared" si="7"/>
        <v>rokprognozy=2026 i lp=45</v>
      </c>
      <c r="S48" s="37" t="str">
        <f t="shared" si="7"/>
        <v>rokprognozy=2027 i lp=45</v>
      </c>
      <c r="T48" s="37" t="str">
        <f t="shared" si="7"/>
        <v>rokprognozy=2028 i lp=45</v>
      </c>
      <c r="U48" s="37" t="str">
        <f t="shared" si="7"/>
        <v>rokprognozy=2029 i lp=45</v>
      </c>
      <c r="V48" s="37" t="str">
        <f t="shared" si="7"/>
        <v>rokprognozy=2030 i lp=45</v>
      </c>
      <c r="W48" s="37" t="str">
        <f t="shared" si="7"/>
        <v>rokprognozy=2031 i lp=45</v>
      </c>
      <c r="X48" s="37" t="str">
        <f t="shared" si="7"/>
        <v>rokprognozy=2032 i lp=45</v>
      </c>
      <c r="Y48" s="37" t="str">
        <f t="shared" si="7"/>
        <v>rokprognozy=2033 i lp=45</v>
      </c>
      <c r="Z48" s="37" t="str">
        <f t="shared" si="7"/>
        <v>rokprognozy=2034 i lp=45</v>
      </c>
      <c r="AA48" s="37" t="str">
        <f t="shared" si="7"/>
        <v>rokprognozy=2035 i lp=45</v>
      </c>
      <c r="AB48" s="37" t="str">
        <f t="shared" si="7"/>
        <v>rokprognozy=2036 i lp=45</v>
      </c>
      <c r="AC48" s="37" t="str">
        <f t="shared" si="8"/>
        <v>rokprognozy=2037 i lp=45</v>
      </c>
      <c r="AD48" s="37" t="str">
        <f t="shared" si="8"/>
        <v>rokprognozy=2038 i lp=45</v>
      </c>
      <c r="AE48" s="37" t="str">
        <f t="shared" si="8"/>
        <v>rokprognozy=2039 i lp=45</v>
      </c>
      <c r="AF48" s="37" t="str">
        <f t="shared" si="8"/>
        <v>rokprognozy=2040 i lp=45</v>
      </c>
      <c r="AG48" s="37" t="str">
        <f t="shared" si="8"/>
        <v>rokprognozy=2041 i lp=45</v>
      </c>
      <c r="AH48" s="37" t="str">
        <f t="shared" si="8"/>
        <v>rokprognozy=2042 i lp=45</v>
      </c>
      <c r="AI48" s="37" t="str">
        <f t="shared" si="8"/>
        <v>rokprognozy=2043 i lp=45</v>
      </c>
      <c r="AJ48" s="37" t="str">
        <f t="shared" si="8"/>
        <v>rokprognozy=2044 i lp=45</v>
      </c>
      <c r="AK48" s="37" t="str">
        <f t="shared" si="8"/>
        <v>rokprognozy=2045 i lp=45</v>
      </c>
      <c r="AL48" s="37" t="str">
        <f t="shared" si="8"/>
        <v>rokprognozy=2046 i lp=45</v>
      </c>
      <c r="AM48" s="37" t="str">
        <f t="shared" si="8"/>
        <v>rokprognozy=2047 i lp=45</v>
      </c>
      <c r="AN48" s="37" t="str">
        <f t="shared" si="8"/>
        <v>rokprognozy=2048 i lp=45</v>
      </c>
      <c r="AO48" s="37" t="str">
        <f t="shared" si="8"/>
        <v>rokprognozy=2049 i lp=45</v>
      </c>
      <c r="AP48" s="37" t="str">
        <f t="shared" si="8"/>
        <v>rokprognozy=2050 i lp=45</v>
      </c>
    </row>
    <row r="49" spans="1:42" ht="24">
      <c r="A49" s="8">
        <v>46</v>
      </c>
      <c r="B49" s="39">
        <v>21</v>
      </c>
      <c r="C49" s="48" t="s">
        <v>54</v>
      </c>
      <c r="D49" s="25" t="str">
        <f t="shared" si="9"/>
        <v>rokprognozy=2012 i lp=46</v>
      </c>
      <c r="E49" s="25" t="str">
        <f t="shared" si="9"/>
        <v>rokprognozy=2013 i lp=46</v>
      </c>
      <c r="F49" s="37" t="str">
        <f t="shared" si="9"/>
        <v>rokprognozy=2014 i lp=46</v>
      </c>
      <c r="G49" s="37" t="str">
        <f t="shared" si="9"/>
        <v>rokprognozy=2015 i lp=46</v>
      </c>
      <c r="H49" s="37" t="str">
        <f t="shared" si="9"/>
        <v>rokprognozy=2016 i lp=46</v>
      </c>
      <c r="I49" s="37" t="str">
        <f t="shared" si="9"/>
        <v>rokprognozy=2017 i lp=46</v>
      </c>
      <c r="J49" s="37" t="str">
        <f t="shared" si="9"/>
        <v>rokprognozy=2018 i lp=46</v>
      </c>
      <c r="K49" s="37" t="str">
        <f t="shared" si="9"/>
        <v>rokprognozy=2019 i lp=46</v>
      </c>
      <c r="L49" s="37" t="str">
        <f t="shared" si="9"/>
        <v>rokprognozy=2020 i lp=46</v>
      </c>
      <c r="M49" s="37" t="str">
        <f t="shared" si="7"/>
        <v>rokprognozy=2021 i lp=46</v>
      </c>
      <c r="N49" s="37" t="str">
        <f t="shared" si="7"/>
        <v>rokprognozy=2022 i lp=46</v>
      </c>
      <c r="O49" s="37" t="str">
        <f t="shared" si="7"/>
        <v>rokprognozy=2023 i lp=46</v>
      </c>
      <c r="P49" s="37" t="str">
        <f t="shared" si="7"/>
        <v>rokprognozy=2024 i lp=46</v>
      </c>
      <c r="Q49" s="37" t="str">
        <f t="shared" si="7"/>
        <v>rokprognozy=2025 i lp=46</v>
      </c>
      <c r="R49" s="37" t="str">
        <f t="shared" si="7"/>
        <v>rokprognozy=2026 i lp=46</v>
      </c>
      <c r="S49" s="37" t="str">
        <f t="shared" ref="M49:AB60" si="10">+"rokprognozy="&amp;S$3&amp;" i lp="&amp;$A49</f>
        <v>rokprognozy=2027 i lp=46</v>
      </c>
      <c r="T49" s="37" t="str">
        <f t="shared" si="10"/>
        <v>rokprognozy=2028 i lp=46</v>
      </c>
      <c r="U49" s="37" t="str">
        <f t="shared" si="10"/>
        <v>rokprognozy=2029 i lp=46</v>
      </c>
      <c r="V49" s="37" t="str">
        <f t="shared" si="10"/>
        <v>rokprognozy=2030 i lp=46</v>
      </c>
      <c r="W49" s="37" t="str">
        <f t="shared" si="10"/>
        <v>rokprognozy=2031 i lp=46</v>
      </c>
      <c r="X49" s="37" t="str">
        <f t="shared" si="10"/>
        <v>rokprognozy=2032 i lp=46</v>
      </c>
      <c r="Y49" s="37" t="str">
        <f t="shared" si="10"/>
        <v>rokprognozy=2033 i lp=46</v>
      </c>
      <c r="Z49" s="37" t="str">
        <f t="shared" si="10"/>
        <v>rokprognozy=2034 i lp=46</v>
      </c>
      <c r="AA49" s="37" t="str">
        <f t="shared" si="10"/>
        <v>rokprognozy=2035 i lp=46</v>
      </c>
      <c r="AB49" s="37" t="str">
        <f t="shared" si="10"/>
        <v>rokprognozy=2036 i lp=46</v>
      </c>
      <c r="AC49" s="37" t="str">
        <f t="shared" si="8"/>
        <v>rokprognozy=2037 i lp=46</v>
      </c>
      <c r="AD49" s="37" t="str">
        <f t="shared" si="8"/>
        <v>rokprognozy=2038 i lp=46</v>
      </c>
      <c r="AE49" s="37" t="str">
        <f t="shared" si="8"/>
        <v>rokprognozy=2039 i lp=46</v>
      </c>
      <c r="AF49" s="37" t="str">
        <f t="shared" si="8"/>
        <v>rokprognozy=2040 i lp=46</v>
      </c>
      <c r="AG49" s="37" t="str">
        <f t="shared" si="8"/>
        <v>rokprognozy=2041 i lp=46</v>
      </c>
      <c r="AH49" s="37" t="str">
        <f t="shared" si="8"/>
        <v>rokprognozy=2042 i lp=46</v>
      </c>
      <c r="AI49" s="37" t="str">
        <f t="shared" si="8"/>
        <v>rokprognozy=2043 i lp=46</v>
      </c>
      <c r="AJ49" s="37" t="str">
        <f t="shared" si="8"/>
        <v>rokprognozy=2044 i lp=46</v>
      </c>
      <c r="AK49" s="37" t="str">
        <f t="shared" si="8"/>
        <v>rokprognozy=2045 i lp=46</v>
      </c>
      <c r="AL49" s="37" t="str">
        <f t="shared" si="8"/>
        <v>rokprognozy=2046 i lp=46</v>
      </c>
      <c r="AM49" s="37" t="str">
        <f t="shared" si="8"/>
        <v>rokprognozy=2047 i lp=46</v>
      </c>
      <c r="AN49" s="37" t="str">
        <f t="shared" si="8"/>
        <v>rokprognozy=2048 i lp=46</v>
      </c>
      <c r="AO49" s="37" t="str">
        <f t="shared" si="8"/>
        <v>rokprognozy=2049 i lp=46</v>
      </c>
      <c r="AP49" s="37" t="str">
        <f t="shared" si="8"/>
        <v>rokprognozy=2050 i lp=46</v>
      </c>
    </row>
    <row r="50" spans="1:42" ht="24">
      <c r="A50" s="8">
        <v>47</v>
      </c>
      <c r="B50" s="39" t="s">
        <v>147</v>
      </c>
      <c r="C50" s="48" t="s">
        <v>76</v>
      </c>
      <c r="D50" s="25" t="str">
        <f t="shared" si="9"/>
        <v>rokprognozy=2012 i lp=47</v>
      </c>
      <c r="E50" s="25" t="str">
        <f t="shared" si="9"/>
        <v>rokprognozy=2013 i lp=47</v>
      </c>
      <c r="F50" s="37" t="str">
        <f t="shared" si="9"/>
        <v>rokprognozy=2014 i lp=47</v>
      </c>
      <c r="G50" s="37" t="str">
        <f t="shared" si="9"/>
        <v>rokprognozy=2015 i lp=47</v>
      </c>
      <c r="H50" s="37" t="str">
        <f t="shared" si="9"/>
        <v>rokprognozy=2016 i lp=47</v>
      </c>
      <c r="I50" s="37" t="str">
        <f t="shared" si="9"/>
        <v>rokprognozy=2017 i lp=47</v>
      </c>
      <c r="J50" s="37" t="str">
        <f t="shared" si="9"/>
        <v>rokprognozy=2018 i lp=47</v>
      </c>
      <c r="K50" s="37" t="str">
        <f t="shared" si="9"/>
        <v>rokprognozy=2019 i lp=47</v>
      </c>
      <c r="L50" s="37" t="str">
        <f t="shared" si="9"/>
        <v>rokprognozy=2020 i lp=47</v>
      </c>
      <c r="M50" s="37" t="str">
        <f t="shared" si="10"/>
        <v>rokprognozy=2021 i lp=47</v>
      </c>
      <c r="N50" s="37" t="str">
        <f t="shared" si="10"/>
        <v>rokprognozy=2022 i lp=47</v>
      </c>
      <c r="O50" s="37" t="str">
        <f t="shared" si="10"/>
        <v>rokprognozy=2023 i lp=47</v>
      </c>
      <c r="P50" s="37" t="str">
        <f t="shared" si="10"/>
        <v>rokprognozy=2024 i lp=47</v>
      </c>
      <c r="Q50" s="37" t="str">
        <f t="shared" si="10"/>
        <v>rokprognozy=2025 i lp=47</v>
      </c>
      <c r="R50" s="37" t="str">
        <f t="shared" si="10"/>
        <v>rokprognozy=2026 i lp=47</v>
      </c>
      <c r="S50" s="37" t="str">
        <f t="shared" si="10"/>
        <v>rokprognozy=2027 i lp=47</v>
      </c>
      <c r="T50" s="37" t="str">
        <f t="shared" si="10"/>
        <v>rokprognozy=2028 i lp=47</v>
      </c>
      <c r="U50" s="37" t="str">
        <f t="shared" si="10"/>
        <v>rokprognozy=2029 i lp=47</v>
      </c>
      <c r="V50" s="37" t="str">
        <f t="shared" si="10"/>
        <v>rokprognozy=2030 i lp=47</v>
      </c>
      <c r="W50" s="37" t="str">
        <f t="shared" si="10"/>
        <v>rokprognozy=2031 i lp=47</v>
      </c>
      <c r="X50" s="37" t="str">
        <f t="shared" si="10"/>
        <v>rokprognozy=2032 i lp=47</v>
      </c>
      <c r="Y50" s="37" t="str">
        <f t="shared" si="10"/>
        <v>rokprognozy=2033 i lp=47</v>
      </c>
      <c r="Z50" s="37" t="str">
        <f t="shared" si="10"/>
        <v>rokprognozy=2034 i lp=47</v>
      </c>
      <c r="AA50" s="37" t="str">
        <f t="shared" si="10"/>
        <v>rokprognozy=2035 i lp=47</v>
      </c>
      <c r="AB50" s="37" t="str">
        <f t="shared" si="10"/>
        <v>rokprognozy=2036 i lp=47</v>
      </c>
      <c r="AC50" s="37" t="str">
        <f t="shared" si="8"/>
        <v>rokprognozy=2037 i lp=47</v>
      </c>
      <c r="AD50" s="37" t="str">
        <f t="shared" si="8"/>
        <v>rokprognozy=2038 i lp=47</v>
      </c>
      <c r="AE50" s="37" t="str">
        <f t="shared" si="8"/>
        <v>rokprognozy=2039 i lp=47</v>
      </c>
      <c r="AF50" s="37" t="str">
        <f t="shared" si="8"/>
        <v>rokprognozy=2040 i lp=47</v>
      </c>
      <c r="AG50" s="37" t="str">
        <f t="shared" si="8"/>
        <v>rokprognozy=2041 i lp=47</v>
      </c>
      <c r="AH50" s="37" t="str">
        <f t="shared" si="8"/>
        <v>rokprognozy=2042 i lp=47</v>
      </c>
      <c r="AI50" s="37" t="str">
        <f t="shared" si="8"/>
        <v>rokprognozy=2043 i lp=47</v>
      </c>
      <c r="AJ50" s="37" t="str">
        <f t="shared" si="8"/>
        <v>rokprognozy=2044 i lp=47</v>
      </c>
      <c r="AK50" s="37" t="str">
        <f t="shared" si="8"/>
        <v>rokprognozy=2045 i lp=47</v>
      </c>
      <c r="AL50" s="37" t="str">
        <f t="shared" si="8"/>
        <v>rokprognozy=2046 i lp=47</v>
      </c>
      <c r="AM50" s="37" t="str">
        <f t="shared" si="8"/>
        <v>rokprognozy=2047 i lp=47</v>
      </c>
      <c r="AN50" s="37" t="str">
        <f t="shared" si="8"/>
        <v>rokprognozy=2048 i lp=47</v>
      </c>
      <c r="AO50" s="37" t="str">
        <f t="shared" si="8"/>
        <v>rokprognozy=2049 i lp=47</v>
      </c>
      <c r="AP50" s="37" t="str">
        <f t="shared" si="8"/>
        <v>rokprognozy=2050 i lp=47</v>
      </c>
    </row>
    <row r="51" spans="1:42" ht="24">
      <c r="A51" s="8">
        <v>48</v>
      </c>
      <c r="B51" s="39">
        <v>22</v>
      </c>
      <c r="C51" s="48" t="s">
        <v>77</v>
      </c>
      <c r="D51" s="25" t="str">
        <f t="shared" si="9"/>
        <v>rokprognozy=2012 i lp=48</v>
      </c>
      <c r="E51" s="25" t="str">
        <f t="shared" si="9"/>
        <v>rokprognozy=2013 i lp=48</v>
      </c>
      <c r="F51" s="37" t="str">
        <f t="shared" si="9"/>
        <v>rokprognozy=2014 i lp=48</v>
      </c>
      <c r="G51" s="37" t="str">
        <f t="shared" si="9"/>
        <v>rokprognozy=2015 i lp=48</v>
      </c>
      <c r="H51" s="37" t="str">
        <f t="shared" si="9"/>
        <v>rokprognozy=2016 i lp=48</v>
      </c>
      <c r="I51" s="37" t="str">
        <f t="shared" si="9"/>
        <v>rokprognozy=2017 i lp=48</v>
      </c>
      <c r="J51" s="37" t="str">
        <f t="shared" si="9"/>
        <v>rokprognozy=2018 i lp=48</v>
      </c>
      <c r="K51" s="37" t="str">
        <f t="shared" si="9"/>
        <v>rokprognozy=2019 i lp=48</v>
      </c>
      <c r="L51" s="37" t="str">
        <f t="shared" si="9"/>
        <v>rokprognozy=2020 i lp=48</v>
      </c>
      <c r="M51" s="37" t="str">
        <f t="shared" si="10"/>
        <v>rokprognozy=2021 i lp=48</v>
      </c>
      <c r="N51" s="37" t="str">
        <f t="shared" si="10"/>
        <v>rokprognozy=2022 i lp=48</v>
      </c>
      <c r="O51" s="37" t="str">
        <f t="shared" si="10"/>
        <v>rokprognozy=2023 i lp=48</v>
      </c>
      <c r="P51" s="37" t="str">
        <f t="shared" si="10"/>
        <v>rokprognozy=2024 i lp=48</v>
      </c>
      <c r="Q51" s="37" t="str">
        <f t="shared" si="10"/>
        <v>rokprognozy=2025 i lp=48</v>
      </c>
      <c r="R51" s="37" t="str">
        <f t="shared" si="10"/>
        <v>rokprognozy=2026 i lp=48</v>
      </c>
      <c r="S51" s="37" t="str">
        <f t="shared" si="10"/>
        <v>rokprognozy=2027 i lp=48</v>
      </c>
      <c r="T51" s="37" t="str">
        <f t="shared" si="10"/>
        <v>rokprognozy=2028 i lp=48</v>
      </c>
      <c r="U51" s="37" t="str">
        <f t="shared" si="10"/>
        <v>rokprognozy=2029 i lp=48</v>
      </c>
      <c r="V51" s="37" t="str">
        <f t="shared" si="10"/>
        <v>rokprognozy=2030 i lp=48</v>
      </c>
      <c r="W51" s="37" t="str">
        <f t="shared" si="10"/>
        <v>rokprognozy=2031 i lp=48</v>
      </c>
      <c r="X51" s="37" t="str">
        <f t="shared" si="10"/>
        <v>rokprognozy=2032 i lp=48</v>
      </c>
      <c r="Y51" s="37" t="str">
        <f t="shared" si="10"/>
        <v>rokprognozy=2033 i lp=48</v>
      </c>
      <c r="Z51" s="37" t="str">
        <f t="shared" si="10"/>
        <v>rokprognozy=2034 i lp=48</v>
      </c>
      <c r="AA51" s="37" t="str">
        <f t="shared" si="10"/>
        <v>rokprognozy=2035 i lp=48</v>
      </c>
      <c r="AB51" s="37" t="str">
        <f t="shared" si="10"/>
        <v>rokprognozy=2036 i lp=48</v>
      </c>
      <c r="AC51" s="37" t="str">
        <f t="shared" si="8"/>
        <v>rokprognozy=2037 i lp=48</v>
      </c>
      <c r="AD51" s="37" t="str">
        <f t="shared" si="8"/>
        <v>rokprognozy=2038 i lp=48</v>
      </c>
      <c r="AE51" s="37" t="str">
        <f t="shared" si="8"/>
        <v>rokprognozy=2039 i lp=48</v>
      </c>
      <c r="AF51" s="37" t="str">
        <f t="shared" si="8"/>
        <v>rokprognozy=2040 i lp=48</v>
      </c>
      <c r="AG51" s="37" t="str">
        <f t="shared" si="8"/>
        <v>rokprognozy=2041 i lp=48</v>
      </c>
      <c r="AH51" s="37" t="str">
        <f t="shared" si="8"/>
        <v>rokprognozy=2042 i lp=48</v>
      </c>
      <c r="AI51" s="37" t="str">
        <f t="shared" si="8"/>
        <v>rokprognozy=2043 i lp=48</v>
      </c>
      <c r="AJ51" s="37" t="str">
        <f t="shared" si="8"/>
        <v>rokprognozy=2044 i lp=48</v>
      </c>
      <c r="AK51" s="37" t="str">
        <f t="shared" si="8"/>
        <v>rokprognozy=2045 i lp=48</v>
      </c>
      <c r="AL51" s="37" t="str">
        <f t="shared" si="8"/>
        <v>rokprognozy=2046 i lp=48</v>
      </c>
      <c r="AM51" s="37" t="str">
        <f t="shared" si="8"/>
        <v>rokprognozy=2047 i lp=48</v>
      </c>
      <c r="AN51" s="37" t="str">
        <f t="shared" si="8"/>
        <v>rokprognozy=2048 i lp=48</v>
      </c>
      <c r="AO51" s="37" t="str">
        <f t="shared" ref="AH51:AP52" si="11">+"rokprognozy="&amp;AO$3&amp;" i lp="&amp;$A51</f>
        <v>rokprognozy=2049 i lp=48</v>
      </c>
      <c r="AP51" s="37" t="str">
        <f t="shared" si="11"/>
        <v>rokprognozy=2050 i lp=48</v>
      </c>
    </row>
    <row r="52" spans="1:42" ht="24">
      <c r="A52" s="8">
        <v>49</v>
      </c>
      <c r="B52" s="39" t="s">
        <v>148</v>
      </c>
      <c r="C52" s="48" t="s">
        <v>79</v>
      </c>
      <c r="D52" s="25" t="str">
        <f t="shared" si="9"/>
        <v>rokprognozy=2012 i lp=49</v>
      </c>
      <c r="E52" s="25" t="str">
        <f t="shared" si="9"/>
        <v>rokprognozy=2013 i lp=49</v>
      </c>
      <c r="F52" s="37" t="str">
        <f t="shared" si="9"/>
        <v>rokprognozy=2014 i lp=49</v>
      </c>
      <c r="G52" s="37" t="str">
        <f t="shared" si="9"/>
        <v>rokprognozy=2015 i lp=49</v>
      </c>
      <c r="H52" s="37" t="str">
        <f t="shared" si="9"/>
        <v>rokprognozy=2016 i lp=49</v>
      </c>
      <c r="I52" s="37" t="str">
        <f t="shared" si="9"/>
        <v>rokprognozy=2017 i lp=49</v>
      </c>
      <c r="J52" s="37" t="str">
        <f t="shared" si="9"/>
        <v>rokprognozy=2018 i lp=49</v>
      </c>
      <c r="K52" s="37" t="str">
        <f t="shared" si="9"/>
        <v>rokprognozy=2019 i lp=49</v>
      </c>
      <c r="L52" s="37" t="str">
        <f t="shared" si="9"/>
        <v>rokprognozy=2020 i lp=49</v>
      </c>
      <c r="M52" s="37" t="str">
        <f t="shared" si="10"/>
        <v>rokprognozy=2021 i lp=49</v>
      </c>
      <c r="N52" s="37" t="str">
        <f t="shared" si="10"/>
        <v>rokprognozy=2022 i lp=49</v>
      </c>
      <c r="O52" s="37" t="str">
        <f t="shared" si="10"/>
        <v>rokprognozy=2023 i lp=49</v>
      </c>
      <c r="P52" s="37" t="str">
        <f t="shared" si="10"/>
        <v>rokprognozy=2024 i lp=49</v>
      </c>
      <c r="Q52" s="37" t="str">
        <f t="shared" si="10"/>
        <v>rokprognozy=2025 i lp=49</v>
      </c>
      <c r="R52" s="37" t="str">
        <f t="shared" si="10"/>
        <v>rokprognozy=2026 i lp=49</v>
      </c>
      <c r="S52" s="37" t="str">
        <f t="shared" si="10"/>
        <v>rokprognozy=2027 i lp=49</v>
      </c>
      <c r="T52" s="37" t="str">
        <f t="shared" si="10"/>
        <v>rokprognozy=2028 i lp=49</v>
      </c>
      <c r="U52" s="37" t="str">
        <f t="shared" si="10"/>
        <v>rokprognozy=2029 i lp=49</v>
      </c>
      <c r="V52" s="37" t="str">
        <f t="shared" si="10"/>
        <v>rokprognozy=2030 i lp=49</v>
      </c>
      <c r="W52" s="37" t="str">
        <f t="shared" si="10"/>
        <v>rokprognozy=2031 i lp=49</v>
      </c>
      <c r="X52" s="37" t="str">
        <f t="shared" si="10"/>
        <v>rokprognozy=2032 i lp=49</v>
      </c>
      <c r="Y52" s="37" t="str">
        <f t="shared" si="10"/>
        <v>rokprognozy=2033 i lp=49</v>
      </c>
      <c r="Z52" s="37" t="str">
        <f t="shared" si="10"/>
        <v>rokprognozy=2034 i lp=49</v>
      </c>
      <c r="AA52" s="37" t="str">
        <f t="shared" si="10"/>
        <v>rokprognozy=2035 i lp=49</v>
      </c>
      <c r="AB52" s="37" t="str">
        <f t="shared" si="10"/>
        <v>rokprognozy=2036 i lp=49</v>
      </c>
      <c r="AC52" s="37" t="str">
        <f t="shared" si="8"/>
        <v>rokprognozy=2037 i lp=49</v>
      </c>
      <c r="AD52" s="37" t="str">
        <f t="shared" si="8"/>
        <v>rokprognozy=2038 i lp=49</v>
      </c>
      <c r="AE52" s="37" t="str">
        <f t="shared" si="8"/>
        <v>rokprognozy=2039 i lp=49</v>
      </c>
      <c r="AF52" s="37" t="str">
        <f t="shared" si="8"/>
        <v>rokprognozy=2040 i lp=49</v>
      </c>
      <c r="AG52" s="37" t="str">
        <f t="shared" si="8"/>
        <v>rokprognozy=2041 i lp=49</v>
      </c>
      <c r="AH52" s="37" t="str">
        <f t="shared" si="11"/>
        <v>rokprognozy=2042 i lp=49</v>
      </c>
      <c r="AI52" s="37" t="str">
        <f t="shared" si="11"/>
        <v>rokprognozy=2043 i lp=49</v>
      </c>
      <c r="AJ52" s="37" t="str">
        <f t="shared" si="11"/>
        <v>rokprognozy=2044 i lp=49</v>
      </c>
      <c r="AK52" s="37" t="str">
        <f t="shared" si="11"/>
        <v>rokprognozy=2045 i lp=49</v>
      </c>
      <c r="AL52" s="37" t="str">
        <f t="shared" si="11"/>
        <v>rokprognozy=2046 i lp=49</v>
      </c>
      <c r="AM52" s="37" t="str">
        <f t="shared" si="11"/>
        <v>rokprognozy=2047 i lp=49</v>
      </c>
      <c r="AN52" s="37" t="str">
        <f t="shared" si="11"/>
        <v>rokprognozy=2048 i lp=49</v>
      </c>
      <c r="AO52" s="37" t="str">
        <f t="shared" si="11"/>
        <v>rokprognozy=2049 i lp=49</v>
      </c>
      <c r="AP52" s="37" t="str">
        <f t="shared" si="11"/>
        <v>rokprognozy=2050 i lp=49</v>
      </c>
    </row>
    <row r="53" spans="1:42">
      <c r="A53" s="8">
        <v>50</v>
      </c>
      <c r="B53" s="39">
        <v>23</v>
      </c>
      <c r="C53" s="48" t="s">
        <v>149</v>
      </c>
      <c r="D53" s="25" t="str">
        <f t="shared" si="9"/>
        <v>rokprognozy=2012 i lp=50</v>
      </c>
      <c r="E53" s="25" t="str">
        <f t="shared" si="9"/>
        <v>rokprognozy=2013 i lp=50</v>
      </c>
      <c r="F53" s="37" t="str">
        <f t="shared" si="9"/>
        <v>rokprognozy=2014 i lp=50</v>
      </c>
      <c r="G53" s="37" t="str">
        <f t="shared" si="9"/>
        <v>rokprognozy=2015 i lp=50</v>
      </c>
      <c r="H53" s="37" t="str">
        <f t="shared" si="9"/>
        <v>rokprognozy=2016 i lp=50</v>
      </c>
      <c r="I53" s="37" t="str">
        <f t="shared" si="9"/>
        <v>rokprognozy=2017 i lp=50</v>
      </c>
      <c r="J53" s="37" t="str">
        <f t="shared" si="9"/>
        <v>rokprognozy=2018 i lp=50</v>
      </c>
      <c r="K53" s="37" t="str">
        <f t="shared" si="9"/>
        <v>rokprognozy=2019 i lp=50</v>
      </c>
      <c r="L53" s="37" t="str">
        <f t="shared" si="9"/>
        <v>rokprognozy=2020 i lp=50</v>
      </c>
      <c r="M53" s="37" t="str">
        <f t="shared" si="10"/>
        <v>rokprognozy=2021 i lp=50</v>
      </c>
      <c r="N53" s="37" t="str">
        <f t="shared" si="10"/>
        <v>rokprognozy=2022 i lp=50</v>
      </c>
      <c r="O53" s="37" t="str">
        <f t="shared" si="10"/>
        <v>rokprognozy=2023 i lp=50</v>
      </c>
      <c r="P53" s="37" t="str">
        <f t="shared" si="10"/>
        <v>rokprognozy=2024 i lp=50</v>
      </c>
      <c r="Q53" s="37" t="str">
        <f t="shared" si="10"/>
        <v>rokprognozy=2025 i lp=50</v>
      </c>
      <c r="R53" s="37" t="str">
        <f t="shared" si="10"/>
        <v>rokprognozy=2026 i lp=50</v>
      </c>
      <c r="S53" s="37" t="str">
        <f t="shared" si="10"/>
        <v>rokprognozy=2027 i lp=50</v>
      </c>
      <c r="T53" s="37" t="str">
        <f t="shared" si="10"/>
        <v>rokprognozy=2028 i lp=50</v>
      </c>
      <c r="U53" s="37" t="str">
        <f t="shared" si="10"/>
        <v>rokprognozy=2029 i lp=50</v>
      </c>
      <c r="V53" s="37" t="str">
        <f t="shared" si="10"/>
        <v>rokprognozy=2030 i lp=50</v>
      </c>
      <c r="W53" s="37" t="str">
        <f t="shared" si="10"/>
        <v>rokprognozy=2031 i lp=50</v>
      </c>
      <c r="X53" s="37" t="str">
        <f t="shared" si="10"/>
        <v>rokprognozy=2032 i lp=50</v>
      </c>
      <c r="Y53" s="37" t="str">
        <f t="shared" si="10"/>
        <v>rokprognozy=2033 i lp=50</v>
      </c>
      <c r="Z53" s="37" t="str">
        <f t="shared" si="10"/>
        <v>rokprognozy=2034 i lp=50</v>
      </c>
      <c r="AA53" s="37" t="str">
        <f t="shared" si="10"/>
        <v>rokprognozy=2035 i lp=50</v>
      </c>
      <c r="AB53" s="37" t="str">
        <f t="shared" si="10"/>
        <v>rokprognozy=2036 i lp=50</v>
      </c>
      <c r="AC53" s="37" t="str">
        <f t="shared" ref="AC53:AP60" si="12">+"rokprognozy="&amp;AC$3&amp;" i lp="&amp;$A53</f>
        <v>rokprognozy=2037 i lp=50</v>
      </c>
      <c r="AD53" s="37" t="str">
        <f t="shared" si="12"/>
        <v>rokprognozy=2038 i lp=50</v>
      </c>
      <c r="AE53" s="37" t="str">
        <f t="shared" si="12"/>
        <v>rokprognozy=2039 i lp=50</v>
      </c>
      <c r="AF53" s="37" t="str">
        <f t="shared" si="12"/>
        <v>rokprognozy=2040 i lp=50</v>
      </c>
      <c r="AG53" s="37" t="str">
        <f t="shared" si="12"/>
        <v>rokprognozy=2041 i lp=50</v>
      </c>
      <c r="AH53" s="37" t="str">
        <f t="shared" si="12"/>
        <v>rokprognozy=2042 i lp=50</v>
      </c>
      <c r="AI53" s="37" t="str">
        <f t="shared" si="12"/>
        <v>rokprognozy=2043 i lp=50</v>
      </c>
      <c r="AJ53" s="37" t="str">
        <f t="shared" si="12"/>
        <v>rokprognozy=2044 i lp=50</v>
      </c>
      <c r="AK53" s="37" t="str">
        <f t="shared" si="12"/>
        <v>rokprognozy=2045 i lp=50</v>
      </c>
      <c r="AL53" s="37" t="str">
        <f t="shared" si="12"/>
        <v>rokprognozy=2046 i lp=50</v>
      </c>
      <c r="AM53" s="37" t="str">
        <f t="shared" si="12"/>
        <v>rokprognozy=2047 i lp=50</v>
      </c>
      <c r="AN53" s="37" t="str">
        <f t="shared" si="12"/>
        <v>rokprognozy=2048 i lp=50</v>
      </c>
      <c r="AO53" s="37" t="str">
        <f t="shared" si="12"/>
        <v>rokprognozy=2049 i lp=50</v>
      </c>
      <c r="AP53" s="37" t="str">
        <f t="shared" si="12"/>
        <v>rokprognozy=2050 i lp=50</v>
      </c>
    </row>
    <row r="54" spans="1:42">
      <c r="A54" s="8">
        <v>51</v>
      </c>
      <c r="B54" s="39">
        <v>24</v>
      </c>
      <c r="C54" s="48" t="s">
        <v>150</v>
      </c>
      <c r="D54" s="25" t="str">
        <f t="shared" si="9"/>
        <v>rokprognozy=2012 i lp=51</v>
      </c>
      <c r="E54" s="25" t="str">
        <f t="shared" si="9"/>
        <v>rokprognozy=2013 i lp=51</v>
      </c>
      <c r="F54" s="37" t="str">
        <f t="shared" si="9"/>
        <v>rokprognozy=2014 i lp=51</v>
      </c>
      <c r="G54" s="37" t="str">
        <f t="shared" si="9"/>
        <v>rokprognozy=2015 i lp=51</v>
      </c>
      <c r="H54" s="37" t="str">
        <f t="shared" si="9"/>
        <v>rokprognozy=2016 i lp=51</v>
      </c>
      <c r="I54" s="37" t="str">
        <f t="shared" si="9"/>
        <v>rokprognozy=2017 i lp=51</v>
      </c>
      <c r="J54" s="37" t="str">
        <f t="shared" si="9"/>
        <v>rokprognozy=2018 i lp=51</v>
      </c>
      <c r="K54" s="37" t="str">
        <f t="shared" si="9"/>
        <v>rokprognozy=2019 i lp=51</v>
      </c>
      <c r="L54" s="37" t="str">
        <f t="shared" si="9"/>
        <v>rokprognozy=2020 i lp=51</v>
      </c>
      <c r="M54" s="37" t="str">
        <f t="shared" si="10"/>
        <v>rokprognozy=2021 i lp=51</v>
      </c>
      <c r="N54" s="37" t="str">
        <f t="shared" si="10"/>
        <v>rokprognozy=2022 i lp=51</v>
      </c>
      <c r="O54" s="37" t="str">
        <f t="shared" si="10"/>
        <v>rokprognozy=2023 i lp=51</v>
      </c>
      <c r="P54" s="37" t="str">
        <f t="shared" si="10"/>
        <v>rokprognozy=2024 i lp=51</v>
      </c>
      <c r="Q54" s="37" t="str">
        <f t="shared" si="10"/>
        <v>rokprognozy=2025 i lp=51</v>
      </c>
      <c r="R54" s="37" t="str">
        <f t="shared" si="10"/>
        <v>rokprognozy=2026 i lp=51</v>
      </c>
      <c r="S54" s="37" t="str">
        <f t="shared" si="10"/>
        <v>rokprognozy=2027 i lp=51</v>
      </c>
      <c r="T54" s="37" t="str">
        <f t="shared" si="10"/>
        <v>rokprognozy=2028 i lp=51</v>
      </c>
      <c r="U54" s="37" t="str">
        <f t="shared" si="10"/>
        <v>rokprognozy=2029 i lp=51</v>
      </c>
      <c r="V54" s="37" t="str">
        <f t="shared" si="10"/>
        <v>rokprognozy=2030 i lp=51</v>
      </c>
      <c r="W54" s="37" t="str">
        <f t="shared" si="10"/>
        <v>rokprognozy=2031 i lp=51</v>
      </c>
      <c r="X54" s="37" t="str">
        <f t="shared" si="10"/>
        <v>rokprognozy=2032 i lp=51</v>
      </c>
      <c r="Y54" s="37" t="str">
        <f t="shared" si="10"/>
        <v>rokprognozy=2033 i lp=51</v>
      </c>
      <c r="Z54" s="37" t="str">
        <f t="shared" si="10"/>
        <v>rokprognozy=2034 i lp=51</v>
      </c>
      <c r="AA54" s="37" t="str">
        <f t="shared" si="10"/>
        <v>rokprognozy=2035 i lp=51</v>
      </c>
      <c r="AB54" s="37" t="str">
        <f t="shared" si="10"/>
        <v>rokprognozy=2036 i lp=51</v>
      </c>
      <c r="AC54" s="37" t="str">
        <f t="shared" si="12"/>
        <v>rokprognozy=2037 i lp=51</v>
      </c>
      <c r="AD54" s="37" t="str">
        <f t="shared" si="12"/>
        <v>rokprognozy=2038 i lp=51</v>
      </c>
      <c r="AE54" s="37" t="str">
        <f t="shared" si="12"/>
        <v>rokprognozy=2039 i lp=51</v>
      </c>
      <c r="AF54" s="37" t="str">
        <f t="shared" si="12"/>
        <v>rokprognozy=2040 i lp=51</v>
      </c>
      <c r="AG54" s="37" t="str">
        <f t="shared" si="12"/>
        <v>rokprognozy=2041 i lp=51</v>
      </c>
      <c r="AH54" s="37" t="str">
        <f t="shared" si="12"/>
        <v>rokprognozy=2042 i lp=51</v>
      </c>
      <c r="AI54" s="37" t="str">
        <f t="shared" si="12"/>
        <v>rokprognozy=2043 i lp=51</v>
      </c>
      <c r="AJ54" s="37" t="str">
        <f t="shared" si="12"/>
        <v>rokprognozy=2044 i lp=51</v>
      </c>
      <c r="AK54" s="37" t="str">
        <f t="shared" si="12"/>
        <v>rokprognozy=2045 i lp=51</v>
      </c>
      <c r="AL54" s="37" t="str">
        <f t="shared" si="12"/>
        <v>rokprognozy=2046 i lp=51</v>
      </c>
      <c r="AM54" s="37" t="str">
        <f t="shared" si="12"/>
        <v>rokprognozy=2047 i lp=51</v>
      </c>
      <c r="AN54" s="37" t="str">
        <f t="shared" si="12"/>
        <v>rokprognozy=2048 i lp=51</v>
      </c>
      <c r="AO54" s="37" t="str">
        <f t="shared" si="12"/>
        <v>rokprognozy=2049 i lp=51</v>
      </c>
      <c r="AP54" s="37" t="str">
        <f t="shared" si="12"/>
        <v>rokprognozy=2050 i lp=51</v>
      </c>
    </row>
    <row r="55" spans="1:42">
      <c r="A55" s="8">
        <v>52</v>
      </c>
      <c r="B55" s="39">
        <v>25</v>
      </c>
      <c r="C55" s="48" t="s">
        <v>49</v>
      </c>
      <c r="D55" s="25" t="str">
        <f t="shared" si="9"/>
        <v>rokprognozy=2012 i lp=52</v>
      </c>
      <c r="E55" s="25" t="str">
        <f t="shared" si="9"/>
        <v>rokprognozy=2013 i lp=52</v>
      </c>
      <c r="F55" s="37" t="str">
        <f t="shared" si="9"/>
        <v>rokprognozy=2014 i lp=52</v>
      </c>
      <c r="G55" s="37" t="str">
        <f t="shared" si="9"/>
        <v>rokprognozy=2015 i lp=52</v>
      </c>
      <c r="H55" s="37" t="str">
        <f t="shared" si="9"/>
        <v>rokprognozy=2016 i lp=52</v>
      </c>
      <c r="I55" s="37" t="str">
        <f t="shared" si="9"/>
        <v>rokprognozy=2017 i lp=52</v>
      </c>
      <c r="J55" s="37" t="str">
        <f t="shared" si="9"/>
        <v>rokprognozy=2018 i lp=52</v>
      </c>
      <c r="K55" s="37" t="str">
        <f t="shared" si="9"/>
        <v>rokprognozy=2019 i lp=52</v>
      </c>
      <c r="L55" s="37" t="str">
        <f t="shared" si="9"/>
        <v>rokprognozy=2020 i lp=52</v>
      </c>
      <c r="M55" s="37" t="str">
        <f t="shared" si="10"/>
        <v>rokprognozy=2021 i lp=52</v>
      </c>
      <c r="N55" s="37" t="str">
        <f t="shared" si="10"/>
        <v>rokprognozy=2022 i lp=52</v>
      </c>
      <c r="O55" s="37" t="str">
        <f t="shared" si="10"/>
        <v>rokprognozy=2023 i lp=52</v>
      </c>
      <c r="P55" s="37" t="str">
        <f t="shared" si="10"/>
        <v>rokprognozy=2024 i lp=52</v>
      </c>
      <c r="Q55" s="37" t="str">
        <f t="shared" si="10"/>
        <v>rokprognozy=2025 i lp=52</v>
      </c>
      <c r="R55" s="37" t="str">
        <f t="shared" si="10"/>
        <v>rokprognozy=2026 i lp=52</v>
      </c>
      <c r="S55" s="37" t="str">
        <f t="shared" si="10"/>
        <v>rokprognozy=2027 i lp=52</v>
      </c>
      <c r="T55" s="37" t="str">
        <f t="shared" si="10"/>
        <v>rokprognozy=2028 i lp=52</v>
      </c>
      <c r="U55" s="37" t="str">
        <f t="shared" si="10"/>
        <v>rokprognozy=2029 i lp=52</v>
      </c>
      <c r="V55" s="37" t="str">
        <f t="shared" si="10"/>
        <v>rokprognozy=2030 i lp=52</v>
      </c>
      <c r="W55" s="37" t="str">
        <f t="shared" si="10"/>
        <v>rokprognozy=2031 i lp=52</v>
      </c>
      <c r="X55" s="37" t="str">
        <f t="shared" si="10"/>
        <v>rokprognozy=2032 i lp=52</v>
      </c>
      <c r="Y55" s="37" t="str">
        <f t="shared" si="10"/>
        <v>rokprognozy=2033 i lp=52</v>
      </c>
      <c r="Z55" s="37" t="str">
        <f t="shared" si="10"/>
        <v>rokprognozy=2034 i lp=52</v>
      </c>
      <c r="AA55" s="37" t="str">
        <f t="shared" si="10"/>
        <v>rokprognozy=2035 i lp=52</v>
      </c>
      <c r="AB55" s="37" t="str">
        <f t="shared" si="10"/>
        <v>rokprognozy=2036 i lp=52</v>
      </c>
      <c r="AC55" s="37" t="str">
        <f t="shared" si="12"/>
        <v>rokprognozy=2037 i lp=52</v>
      </c>
      <c r="AD55" s="37" t="str">
        <f t="shared" si="12"/>
        <v>rokprognozy=2038 i lp=52</v>
      </c>
      <c r="AE55" s="37" t="str">
        <f t="shared" si="12"/>
        <v>rokprognozy=2039 i lp=52</v>
      </c>
      <c r="AF55" s="37" t="str">
        <f t="shared" si="12"/>
        <v>rokprognozy=2040 i lp=52</v>
      </c>
      <c r="AG55" s="37" t="str">
        <f t="shared" si="12"/>
        <v>rokprognozy=2041 i lp=52</v>
      </c>
      <c r="AH55" s="37" t="str">
        <f t="shared" si="12"/>
        <v>rokprognozy=2042 i lp=52</v>
      </c>
      <c r="AI55" s="37" t="str">
        <f t="shared" si="12"/>
        <v>rokprognozy=2043 i lp=52</v>
      </c>
      <c r="AJ55" s="37" t="str">
        <f t="shared" si="12"/>
        <v>rokprognozy=2044 i lp=52</v>
      </c>
      <c r="AK55" s="37" t="str">
        <f t="shared" si="12"/>
        <v>rokprognozy=2045 i lp=52</v>
      </c>
      <c r="AL55" s="37" t="str">
        <f t="shared" si="12"/>
        <v>rokprognozy=2046 i lp=52</v>
      </c>
      <c r="AM55" s="37" t="str">
        <f t="shared" si="12"/>
        <v>rokprognozy=2047 i lp=52</v>
      </c>
      <c r="AN55" s="37" t="str">
        <f t="shared" si="12"/>
        <v>rokprognozy=2048 i lp=52</v>
      </c>
      <c r="AO55" s="37" t="str">
        <f t="shared" si="12"/>
        <v>rokprognozy=2049 i lp=52</v>
      </c>
      <c r="AP55" s="37" t="str">
        <f t="shared" si="12"/>
        <v>rokprognozy=2050 i lp=52</v>
      </c>
    </row>
    <row r="56" spans="1:42">
      <c r="A56" s="8">
        <v>53</v>
      </c>
      <c r="B56" s="39">
        <v>26</v>
      </c>
      <c r="C56" s="48" t="s">
        <v>151</v>
      </c>
      <c r="D56" s="25" t="str">
        <f t="shared" si="9"/>
        <v>rokprognozy=2012 i lp=53</v>
      </c>
      <c r="E56" s="25" t="str">
        <f t="shared" si="9"/>
        <v>rokprognozy=2013 i lp=53</v>
      </c>
      <c r="F56" s="37" t="str">
        <f t="shared" si="9"/>
        <v>rokprognozy=2014 i lp=53</v>
      </c>
      <c r="G56" s="37" t="str">
        <f t="shared" si="9"/>
        <v>rokprognozy=2015 i lp=53</v>
      </c>
      <c r="H56" s="37" t="str">
        <f t="shared" si="9"/>
        <v>rokprognozy=2016 i lp=53</v>
      </c>
      <c r="I56" s="37" t="str">
        <f t="shared" si="9"/>
        <v>rokprognozy=2017 i lp=53</v>
      </c>
      <c r="J56" s="37" t="str">
        <f t="shared" si="9"/>
        <v>rokprognozy=2018 i lp=53</v>
      </c>
      <c r="K56" s="37" t="str">
        <f t="shared" si="9"/>
        <v>rokprognozy=2019 i lp=53</v>
      </c>
      <c r="L56" s="37" t="str">
        <f t="shared" si="9"/>
        <v>rokprognozy=2020 i lp=53</v>
      </c>
      <c r="M56" s="37" t="str">
        <f t="shared" si="10"/>
        <v>rokprognozy=2021 i lp=53</v>
      </c>
      <c r="N56" s="37" t="str">
        <f t="shared" si="10"/>
        <v>rokprognozy=2022 i lp=53</v>
      </c>
      <c r="O56" s="37" t="str">
        <f t="shared" si="10"/>
        <v>rokprognozy=2023 i lp=53</v>
      </c>
      <c r="P56" s="37" t="str">
        <f t="shared" si="10"/>
        <v>rokprognozy=2024 i lp=53</v>
      </c>
      <c r="Q56" s="37" t="str">
        <f t="shared" si="10"/>
        <v>rokprognozy=2025 i lp=53</v>
      </c>
      <c r="R56" s="37" t="str">
        <f t="shared" si="10"/>
        <v>rokprognozy=2026 i lp=53</v>
      </c>
      <c r="S56" s="37" t="str">
        <f t="shared" si="10"/>
        <v>rokprognozy=2027 i lp=53</v>
      </c>
      <c r="T56" s="37" t="str">
        <f t="shared" si="10"/>
        <v>rokprognozy=2028 i lp=53</v>
      </c>
      <c r="U56" s="37" t="str">
        <f t="shared" si="10"/>
        <v>rokprognozy=2029 i lp=53</v>
      </c>
      <c r="V56" s="37" t="str">
        <f t="shared" si="10"/>
        <v>rokprognozy=2030 i lp=53</v>
      </c>
      <c r="W56" s="37" t="str">
        <f t="shared" si="10"/>
        <v>rokprognozy=2031 i lp=53</v>
      </c>
      <c r="X56" s="37" t="str">
        <f t="shared" si="10"/>
        <v>rokprognozy=2032 i lp=53</v>
      </c>
      <c r="Y56" s="37" t="str">
        <f t="shared" si="10"/>
        <v>rokprognozy=2033 i lp=53</v>
      </c>
      <c r="Z56" s="37" t="str">
        <f t="shared" si="10"/>
        <v>rokprognozy=2034 i lp=53</v>
      </c>
      <c r="AA56" s="37" t="str">
        <f t="shared" si="10"/>
        <v>rokprognozy=2035 i lp=53</v>
      </c>
      <c r="AB56" s="37" t="str">
        <f t="shared" si="10"/>
        <v>rokprognozy=2036 i lp=53</v>
      </c>
      <c r="AC56" s="37" t="str">
        <f t="shared" si="12"/>
        <v>rokprognozy=2037 i lp=53</v>
      </c>
      <c r="AD56" s="37" t="str">
        <f t="shared" si="12"/>
        <v>rokprognozy=2038 i lp=53</v>
      </c>
      <c r="AE56" s="37" t="str">
        <f t="shared" si="12"/>
        <v>rokprognozy=2039 i lp=53</v>
      </c>
      <c r="AF56" s="37" t="str">
        <f t="shared" si="12"/>
        <v>rokprognozy=2040 i lp=53</v>
      </c>
      <c r="AG56" s="37" t="str">
        <f t="shared" si="12"/>
        <v>rokprognozy=2041 i lp=53</v>
      </c>
      <c r="AH56" s="37" t="str">
        <f t="shared" si="12"/>
        <v>rokprognozy=2042 i lp=53</v>
      </c>
      <c r="AI56" s="37" t="str">
        <f t="shared" si="12"/>
        <v>rokprognozy=2043 i lp=53</v>
      </c>
      <c r="AJ56" s="37" t="str">
        <f t="shared" si="12"/>
        <v>rokprognozy=2044 i lp=53</v>
      </c>
      <c r="AK56" s="37" t="str">
        <f t="shared" si="12"/>
        <v>rokprognozy=2045 i lp=53</v>
      </c>
      <c r="AL56" s="37" t="str">
        <f t="shared" si="12"/>
        <v>rokprognozy=2046 i lp=53</v>
      </c>
      <c r="AM56" s="37" t="str">
        <f t="shared" si="12"/>
        <v>rokprognozy=2047 i lp=53</v>
      </c>
      <c r="AN56" s="37" t="str">
        <f t="shared" si="12"/>
        <v>rokprognozy=2048 i lp=53</v>
      </c>
      <c r="AO56" s="37" t="str">
        <f t="shared" si="12"/>
        <v>rokprognozy=2049 i lp=53</v>
      </c>
      <c r="AP56" s="37" t="str">
        <f t="shared" si="12"/>
        <v>rokprognozy=2050 i lp=53</v>
      </c>
    </row>
    <row r="57" spans="1:42">
      <c r="A57" s="8">
        <v>54</v>
      </c>
      <c r="B57" s="39">
        <v>27</v>
      </c>
      <c r="C57" s="48" t="s">
        <v>46</v>
      </c>
      <c r="D57" s="25" t="str">
        <f t="shared" si="9"/>
        <v>rokprognozy=2012 i lp=54</v>
      </c>
      <c r="E57" s="25" t="str">
        <f t="shared" si="9"/>
        <v>rokprognozy=2013 i lp=54</v>
      </c>
      <c r="F57" s="37" t="str">
        <f t="shared" si="9"/>
        <v>rokprognozy=2014 i lp=54</v>
      </c>
      <c r="G57" s="37" t="str">
        <f t="shared" si="9"/>
        <v>rokprognozy=2015 i lp=54</v>
      </c>
      <c r="H57" s="37" t="str">
        <f t="shared" si="9"/>
        <v>rokprognozy=2016 i lp=54</v>
      </c>
      <c r="I57" s="37" t="str">
        <f t="shared" si="9"/>
        <v>rokprognozy=2017 i lp=54</v>
      </c>
      <c r="J57" s="37" t="str">
        <f t="shared" si="9"/>
        <v>rokprognozy=2018 i lp=54</v>
      </c>
      <c r="K57" s="37" t="str">
        <f t="shared" si="9"/>
        <v>rokprognozy=2019 i lp=54</v>
      </c>
      <c r="L57" s="37" t="str">
        <f t="shared" si="9"/>
        <v>rokprognozy=2020 i lp=54</v>
      </c>
      <c r="M57" s="37" t="str">
        <f t="shared" si="10"/>
        <v>rokprognozy=2021 i lp=54</v>
      </c>
      <c r="N57" s="37" t="str">
        <f t="shared" si="10"/>
        <v>rokprognozy=2022 i lp=54</v>
      </c>
      <c r="O57" s="37" t="str">
        <f t="shared" si="10"/>
        <v>rokprognozy=2023 i lp=54</v>
      </c>
      <c r="P57" s="37" t="str">
        <f t="shared" si="10"/>
        <v>rokprognozy=2024 i lp=54</v>
      </c>
      <c r="Q57" s="37" t="str">
        <f t="shared" si="10"/>
        <v>rokprognozy=2025 i lp=54</v>
      </c>
      <c r="R57" s="37" t="str">
        <f t="shared" si="10"/>
        <v>rokprognozy=2026 i lp=54</v>
      </c>
      <c r="S57" s="37" t="str">
        <f t="shared" si="10"/>
        <v>rokprognozy=2027 i lp=54</v>
      </c>
      <c r="T57" s="37" t="str">
        <f t="shared" si="10"/>
        <v>rokprognozy=2028 i lp=54</v>
      </c>
      <c r="U57" s="37" t="str">
        <f t="shared" si="10"/>
        <v>rokprognozy=2029 i lp=54</v>
      </c>
      <c r="V57" s="37" t="str">
        <f t="shared" si="10"/>
        <v>rokprognozy=2030 i lp=54</v>
      </c>
      <c r="W57" s="37" t="str">
        <f t="shared" si="10"/>
        <v>rokprognozy=2031 i lp=54</v>
      </c>
      <c r="X57" s="37" t="str">
        <f t="shared" si="10"/>
        <v>rokprognozy=2032 i lp=54</v>
      </c>
      <c r="Y57" s="37" t="str">
        <f t="shared" si="10"/>
        <v>rokprognozy=2033 i lp=54</v>
      </c>
      <c r="Z57" s="37" t="str">
        <f t="shared" si="10"/>
        <v>rokprognozy=2034 i lp=54</v>
      </c>
      <c r="AA57" s="37" t="str">
        <f t="shared" si="10"/>
        <v>rokprognozy=2035 i lp=54</v>
      </c>
      <c r="AB57" s="37" t="str">
        <f t="shared" si="10"/>
        <v>rokprognozy=2036 i lp=54</v>
      </c>
      <c r="AC57" s="37" t="str">
        <f t="shared" si="12"/>
        <v>rokprognozy=2037 i lp=54</v>
      </c>
      <c r="AD57" s="37" t="str">
        <f t="shared" si="12"/>
        <v>rokprognozy=2038 i lp=54</v>
      </c>
      <c r="AE57" s="37" t="str">
        <f t="shared" si="12"/>
        <v>rokprognozy=2039 i lp=54</v>
      </c>
      <c r="AF57" s="37" t="str">
        <f t="shared" si="12"/>
        <v>rokprognozy=2040 i lp=54</v>
      </c>
      <c r="AG57" s="37" t="str">
        <f t="shared" si="12"/>
        <v>rokprognozy=2041 i lp=54</v>
      </c>
      <c r="AH57" s="37" t="str">
        <f t="shared" si="12"/>
        <v>rokprognozy=2042 i lp=54</v>
      </c>
      <c r="AI57" s="37" t="str">
        <f t="shared" si="12"/>
        <v>rokprognozy=2043 i lp=54</v>
      </c>
      <c r="AJ57" s="37" t="str">
        <f t="shared" si="12"/>
        <v>rokprognozy=2044 i lp=54</v>
      </c>
      <c r="AK57" s="37" t="str">
        <f t="shared" si="12"/>
        <v>rokprognozy=2045 i lp=54</v>
      </c>
      <c r="AL57" s="37" t="str">
        <f t="shared" si="12"/>
        <v>rokprognozy=2046 i lp=54</v>
      </c>
      <c r="AM57" s="37" t="str">
        <f t="shared" si="12"/>
        <v>rokprognozy=2047 i lp=54</v>
      </c>
      <c r="AN57" s="37" t="str">
        <f t="shared" si="12"/>
        <v>rokprognozy=2048 i lp=54</v>
      </c>
      <c r="AO57" s="37" t="str">
        <f t="shared" si="12"/>
        <v>rokprognozy=2049 i lp=54</v>
      </c>
      <c r="AP57" s="37" t="str">
        <f t="shared" si="12"/>
        <v>rokprognozy=2050 i lp=54</v>
      </c>
    </row>
    <row r="58" spans="1:42">
      <c r="A58" s="8">
        <v>55</v>
      </c>
      <c r="B58" s="39">
        <v>28</v>
      </c>
      <c r="C58" s="48" t="s">
        <v>48</v>
      </c>
      <c r="D58" s="25" t="str">
        <f t="shared" si="9"/>
        <v>rokprognozy=2012 i lp=55</v>
      </c>
      <c r="E58" s="25" t="str">
        <f t="shared" si="9"/>
        <v>rokprognozy=2013 i lp=55</v>
      </c>
      <c r="F58" s="37" t="str">
        <f t="shared" si="9"/>
        <v>rokprognozy=2014 i lp=55</v>
      </c>
      <c r="G58" s="37" t="str">
        <f t="shared" si="9"/>
        <v>rokprognozy=2015 i lp=55</v>
      </c>
      <c r="H58" s="37" t="str">
        <f t="shared" si="9"/>
        <v>rokprognozy=2016 i lp=55</v>
      </c>
      <c r="I58" s="37" t="str">
        <f t="shared" si="9"/>
        <v>rokprognozy=2017 i lp=55</v>
      </c>
      <c r="J58" s="37" t="str">
        <f t="shared" si="9"/>
        <v>rokprognozy=2018 i lp=55</v>
      </c>
      <c r="K58" s="37" t="str">
        <f t="shared" si="9"/>
        <v>rokprognozy=2019 i lp=55</v>
      </c>
      <c r="L58" s="37" t="str">
        <f t="shared" si="9"/>
        <v>rokprognozy=2020 i lp=55</v>
      </c>
      <c r="M58" s="37" t="str">
        <f t="shared" si="10"/>
        <v>rokprognozy=2021 i lp=55</v>
      </c>
      <c r="N58" s="37" t="str">
        <f t="shared" si="10"/>
        <v>rokprognozy=2022 i lp=55</v>
      </c>
      <c r="O58" s="37" t="str">
        <f t="shared" si="10"/>
        <v>rokprognozy=2023 i lp=55</v>
      </c>
      <c r="P58" s="37" t="str">
        <f t="shared" si="10"/>
        <v>rokprognozy=2024 i lp=55</v>
      </c>
      <c r="Q58" s="37" t="str">
        <f t="shared" si="10"/>
        <v>rokprognozy=2025 i lp=55</v>
      </c>
      <c r="R58" s="37" t="str">
        <f t="shared" si="10"/>
        <v>rokprognozy=2026 i lp=55</v>
      </c>
      <c r="S58" s="37" t="str">
        <f t="shared" si="10"/>
        <v>rokprognozy=2027 i lp=55</v>
      </c>
      <c r="T58" s="37" t="str">
        <f t="shared" si="10"/>
        <v>rokprognozy=2028 i lp=55</v>
      </c>
      <c r="U58" s="37" t="str">
        <f t="shared" si="10"/>
        <v>rokprognozy=2029 i lp=55</v>
      </c>
      <c r="V58" s="37" t="str">
        <f t="shared" si="10"/>
        <v>rokprognozy=2030 i lp=55</v>
      </c>
      <c r="W58" s="37" t="str">
        <f t="shared" si="10"/>
        <v>rokprognozy=2031 i lp=55</v>
      </c>
      <c r="X58" s="37" t="str">
        <f t="shared" si="10"/>
        <v>rokprognozy=2032 i lp=55</v>
      </c>
      <c r="Y58" s="37" t="str">
        <f t="shared" si="10"/>
        <v>rokprognozy=2033 i lp=55</v>
      </c>
      <c r="Z58" s="37" t="str">
        <f t="shared" si="10"/>
        <v>rokprognozy=2034 i lp=55</v>
      </c>
      <c r="AA58" s="37" t="str">
        <f t="shared" si="10"/>
        <v>rokprognozy=2035 i lp=55</v>
      </c>
      <c r="AB58" s="37" t="str">
        <f t="shared" si="10"/>
        <v>rokprognozy=2036 i lp=55</v>
      </c>
      <c r="AC58" s="37" t="str">
        <f t="shared" si="12"/>
        <v>rokprognozy=2037 i lp=55</v>
      </c>
      <c r="AD58" s="37" t="str">
        <f t="shared" si="12"/>
        <v>rokprognozy=2038 i lp=55</v>
      </c>
      <c r="AE58" s="37" t="str">
        <f t="shared" si="12"/>
        <v>rokprognozy=2039 i lp=55</v>
      </c>
      <c r="AF58" s="37" t="str">
        <f t="shared" si="12"/>
        <v>rokprognozy=2040 i lp=55</v>
      </c>
      <c r="AG58" s="37" t="str">
        <f t="shared" si="12"/>
        <v>rokprognozy=2041 i lp=55</v>
      </c>
      <c r="AH58" s="37" t="str">
        <f t="shared" si="12"/>
        <v>rokprognozy=2042 i lp=55</v>
      </c>
      <c r="AI58" s="37" t="str">
        <f t="shared" si="12"/>
        <v>rokprognozy=2043 i lp=55</v>
      </c>
      <c r="AJ58" s="37" t="str">
        <f t="shared" si="12"/>
        <v>rokprognozy=2044 i lp=55</v>
      </c>
      <c r="AK58" s="37" t="str">
        <f t="shared" si="12"/>
        <v>rokprognozy=2045 i lp=55</v>
      </c>
      <c r="AL58" s="37" t="str">
        <f t="shared" si="12"/>
        <v>rokprognozy=2046 i lp=55</v>
      </c>
      <c r="AM58" s="37" t="str">
        <f t="shared" si="12"/>
        <v>rokprognozy=2047 i lp=55</v>
      </c>
      <c r="AN58" s="37" t="str">
        <f t="shared" si="12"/>
        <v>rokprognozy=2048 i lp=55</v>
      </c>
      <c r="AO58" s="37" t="str">
        <f t="shared" si="12"/>
        <v>rokprognozy=2049 i lp=55</v>
      </c>
      <c r="AP58" s="37" t="str">
        <f t="shared" si="12"/>
        <v>rokprognozy=2050 i lp=55</v>
      </c>
    </row>
    <row r="59" spans="1:42">
      <c r="A59" s="8">
        <v>56</v>
      </c>
      <c r="B59" s="39">
        <v>29</v>
      </c>
      <c r="C59" s="48" t="s">
        <v>152</v>
      </c>
      <c r="D59" s="25" t="str">
        <f t="shared" si="9"/>
        <v>rokprognozy=2012 i lp=56</v>
      </c>
      <c r="E59" s="25" t="str">
        <f t="shared" si="9"/>
        <v>rokprognozy=2013 i lp=56</v>
      </c>
      <c r="F59" s="37" t="str">
        <f t="shared" si="9"/>
        <v>rokprognozy=2014 i lp=56</v>
      </c>
      <c r="G59" s="37" t="str">
        <f t="shared" si="9"/>
        <v>rokprognozy=2015 i lp=56</v>
      </c>
      <c r="H59" s="37" t="str">
        <f t="shared" si="9"/>
        <v>rokprognozy=2016 i lp=56</v>
      </c>
      <c r="I59" s="37" t="str">
        <f t="shared" si="9"/>
        <v>rokprognozy=2017 i lp=56</v>
      </c>
      <c r="J59" s="37" t="str">
        <f t="shared" si="9"/>
        <v>rokprognozy=2018 i lp=56</v>
      </c>
      <c r="K59" s="37" t="str">
        <f t="shared" si="9"/>
        <v>rokprognozy=2019 i lp=56</v>
      </c>
      <c r="L59" s="37" t="str">
        <f t="shared" si="9"/>
        <v>rokprognozy=2020 i lp=56</v>
      </c>
      <c r="M59" s="37" t="str">
        <f t="shared" si="10"/>
        <v>rokprognozy=2021 i lp=56</v>
      </c>
      <c r="N59" s="37" t="str">
        <f t="shared" si="10"/>
        <v>rokprognozy=2022 i lp=56</v>
      </c>
      <c r="O59" s="37" t="str">
        <f t="shared" si="10"/>
        <v>rokprognozy=2023 i lp=56</v>
      </c>
      <c r="P59" s="37" t="str">
        <f t="shared" si="10"/>
        <v>rokprognozy=2024 i lp=56</v>
      </c>
      <c r="Q59" s="37" t="str">
        <f t="shared" si="10"/>
        <v>rokprognozy=2025 i lp=56</v>
      </c>
      <c r="R59" s="37" t="str">
        <f t="shared" si="10"/>
        <v>rokprognozy=2026 i lp=56</v>
      </c>
      <c r="S59" s="37" t="str">
        <f t="shared" si="10"/>
        <v>rokprognozy=2027 i lp=56</v>
      </c>
      <c r="T59" s="37" t="str">
        <f t="shared" si="10"/>
        <v>rokprognozy=2028 i lp=56</v>
      </c>
      <c r="U59" s="37" t="str">
        <f t="shared" si="10"/>
        <v>rokprognozy=2029 i lp=56</v>
      </c>
      <c r="V59" s="37" t="str">
        <f t="shared" si="10"/>
        <v>rokprognozy=2030 i lp=56</v>
      </c>
      <c r="W59" s="37" t="str">
        <f t="shared" si="10"/>
        <v>rokprognozy=2031 i lp=56</v>
      </c>
      <c r="X59" s="37" t="str">
        <f t="shared" si="10"/>
        <v>rokprognozy=2032 i lp=56</v>
      </c>
      <c r="Y59" s="37" t="str">
        <f t="shared" si="10"/>
        <v>rokprognozy=2033 i lp=56</v>
      </c>
      <c r="Z59" s="37" t="str">
        <f t="shared" si="10"/>
        <v>rokprognozy=2034 i lp=56</v>
      </c>
      <c r="AA59" s="37" t="str">
        <f t="shared" si="10"/>
        <v>rokprognozy=2035 i lp=56</v>
      </c>
      <c r="AB59" s="37" t="str">
        <f t="shared" si="10"/>
        <v>rokprognozy=2036 i lp=56</v>
      </c>
      <c r="AC59" s="37" t="str">
        <f t="shared" si="12"/>
        <v>rokprognozy=2037 i lp=56</v>
      </c>
      <c r="AD59" s="37" t="str">
        <f t="shared" si="12"/>
        <v>rokprognozy=2038 i lp=56</v>
      </c>
      <c r="AE59" s="37" t="str">
        <f t="shared" si="12"/>
        <v>rokprognozy=2039 i lp=56</v>
      </c>
      <c r="AF59" s="37" t="str">
        <f t="shared" si="12"/>
        <v>rokprognozy=2040 i lp=56</v>
      </c>
      <c r="AG59" s="37" t="str">
        <f t="shared" si="12"/>
        <v>rokprognozy=2041 i lp=56</v>
      </c>
      <c r="AH59" s="37" t="str">
        <f t="shared" si="12"/>
        <v>rokprognozy=2042 i lp=56</v>
      </c>
      <c r="AI59" s="37" t="str">
        <f t="shared" si="12"/>
        <v>rokprognozy=2043 i lp=56</v>
      </c>
      <c r="AJ59" s="37" t="str">
        <f t="shared" si="12"/>
        <v>rokprognozy=2044 i lp=56</v>
      </c>
      <c r="AK59" s="37" t="str">
        <f t="shared" si="12"/>
        <v>rokprognozy=2045 i lp=56</v>
      </c>
      <c r="AL59" s="37" t="str">
        <f t="shared" si="12"/>
        <v>rokprognozy=2046 i lp=56</v>
      </c>
      <c r="AM59" s="37" t="str">
        <f t="shared" si="12"/>
        <v>rokprognozy=2047 i lp=56</v>
      </c>
      <c r="AN59" s="37" t="str">
        <f t="shared" si="12"/>
        <v>rokprognozy=2048 i lp=56</v>
      </c>
      <c r="AO59" s="37" t="str">
        <f t="shared" si="12"/>
        <v>rokprognozy=2049 i lp=56</v>
      </c>
      <c r="AP59" s="37" t="str">
        <f t="shared" si="12"/>
        <v>rokprognozy=2050 i lp=56</v>
      </c>
    </row>
    <row r="60" spans="1:42">
      <c r="A60" s="8">
        <v>57</v>
      </c>
      <c r="B60" s="39">
        <v>30</v>
      </c>
      <c r="C60" s="48" t="s">
        <v>153</v>
      </c>
      <c r="D60" s="25" t="str">
        <f t="shared" si="9"/>
        <v>rokprognozy=2012 i lp=57</v>
      </c>
      <c r="E60" s="25" t="str">
        <f t="shared" si="9"/>
        <v>rokprognozy=2013 i lp=57</v>
      </c>
      <c r="F60" s="37" t="str">
        <f t="shared" si="9"/>
        <v>rokprognozy=2014 i lp=57</v>
      </c>
      <c r="G60" s="37" t="str">
        <f t="shared" si="9"/>
        <v>rokprognozy=2015 i lp=57</v>
      </c>
      <c r="H60" s="37" t="str">
        <f t="shared" si="9"/>
        <v>rokprognozy=2016 i lp=57</v>
      </c>
      <c r="I60" s="37" t="str">
        <f t="shared" si="9"/>
        <v>rokprognozy=2017 i lp=57</v>
      </c>
      <c r="J60" s="37" t="str">
        <f t="shared" si="9"/>
        <v>rokprognozy=2018 i lp=57</v>
      </c>
      <c r="K60" s="37" t="str">
        <f t="shared" si="9"/>
        <v>rokprognozy=2019 i lp=57</v>
      </c>
      <c r="L60" s="37" t="str">
        <f t="shared" si="9"/>
        <v>rokprognozy=2020 i lp=57</v>
      </c>
      <c r="M60" s="37" t="str">
        <f t="shared" si="10"/>
        <v>rokprognozy=2021 i lp=57</v>
      </c>
      <c r="N60" s="37" t="str">
        <f t="shared" si="10"/>
        <v>rokprognozy=2022 i lp=57</v>
      </c>
      <c r="O60" s="37" t="str">
        <f t="shared" si="10"/>
        <v>rokprognozy=2023 i lp=57</v>
      </c>
      <c r="P60" s="37" t="str">
        <f t="shared" si="10"/>
        <v>rokprognozy=2024 i lp=57</v>
      </c>
      <c r="Q60" s="37" t="str">
        <f t="shared" si="10"/>
        <v>rokprognozy=2025 i lp=57</v>
      </c>
      <c r="R60" s="37" t="str">
        <f t="shared" si="10"/>
        <v>rokprognozy=2026 i lp=57</v>
      </c>
      <c r="S60" s="37" t="str">
        <f t="shared" si="10"/>
        <v>rokprognozy=2027 i lp=57</v>
      </c>
      <c r="T60" s="37" t="str">
        <f t="shared" si="10"/>
        <v>rokprognozy=2028 i lp=57</v>
      </c>
      <c r="U60" s="37" t="str">
        <f t="shared" si="10"/>
        <v>rokprognozy=2029 i lp=57</v>
      </c>
      <c r="V60" s="37" t="str">
        <f t="shared" si="10"/>
        <v>rokprognozy=2030 i lp=57</v>
      </c>
      <c r="W60" s="37" t="str">
        <f t="shared" si="10"/>
        <v>rokprognozy=2031 i lp=57</v>
      </c>
      <c r="X60" s="37" t="str">
        <f t="shared" si="10"/>
        <v>rokprognozy=2032 i lp=57</v>
      </c>
      <c r="Y60" s="37" t="str">
        <f t="shared" si="10"/>
        <v>rokprognozy=2033 i lp=57</v>
      </c>
      <c r="Z60" s="37" t="str">
        <f t="shared" si="10"/>
        <v>rokprognozy=2034 i lp=57</v>
      </c>
      <c r="AA60" s="37" t="str">
        <f t="shared" si="10"/>
        <v>rokprognozy=2035 i lp=57</v>
      </c>
      <c r="AB60" s="37" t="str">
        <f t="shared" si="10"/>
        <v>rokprognozy=2036 i lp=57</v>
      </c>
      <c r="AC60" s="37" t="str">
        <f t="shared" si="12"/>
        <v>rokprognozy=2037 i lp=57</v>
      </c>
      <c r="AD60" s="37" t="str">
        <f t="shared" si="12"/>
        <v>rokprognozy=2038 i lp=57</v>
      </c>
      <c r="AE60" s="37" t="str">
        <f t="shared" si="12"/>
        <v>rokprognozy=2039 i lp=57</v>
      </c>
      <c r="AF60" s="37" t="str">
        <f t="shared" si="12"/>
        <v>rokprognozy=2040 i lp=57</v>
      </c>
      <c r="AG60" s="37" t="str">
        <f t="shared" si="12"/>
        <v>rokprognozy=2041 i lp=57</v>
      </c>
      <c r="AH60" s="37" t="str">
        <f t="shared" si="12"/>
        <v>rokprognozy=2042 i lp=57</v>
      </c>
      <c r="AI60" s="37" t="str">
        <f t="shared" si="12"/>
        <v>rokprognozy=2043 i lp=57</v>
      </c>
      <c r="AJ60" s="37" t="str">
        <f t="shared" si="12"/>
        <v>rokprognozy=2044 i lp=57</v>
      </c>
      <c r="AK60" s="37" t="str">
        <f t="shared" si="12"/>
        <v>rokprognozy=2045 i lp=57</v>
      </c>
      <c r="AL60" s="37" t="str">
        <f t="shared" si="12"/>
        <v>rokprognozy=2046 i lp=57</v>
      </c>
      <c r="AM60" s="37" t="str">
        <f t="shared" si="12"/>
        <v>rokprognozy=2047 i lp=57</v>
      </c>
      <c r="AN60" s="37" t="str">
        <f t="shared" si="12"/>
        <v>rokprognozy=2048 i lp=57</v>
      </c>
      <c r="AO60" s="37" t="str">
        <f t="shared" si="12"/>
        <v>rokprognozy=2049 i lp=57</v>
      </c>
      <c r="AP60" s="37" t="str">
        <f t="shared" si="12"/>
        <v>rokprognozy=2050 i lp=57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5"/>
  <dimension ref="A1:O682"/>
  <sheetViews>
    <sheetView topLeftCell="H1" workbookViewId="0">
      <selection activeCell="O4" sqref="O4:O682"/>
    </sheetView>
  </sheetViews>
  <sheetFormatPr defaultRowHeight="14.25"/>
  <cols>
    <col min="2" max="2" width="12.5" customWidth="1"/>
    <col min="3" max="3" width="19.75" customWidth="1"/>
    <col min="7" max="7" width="6.25" customWidth="1"/>
    <col min="8" max="8" width="6.875" customWidth="1"/>
    <col min="9" max="9" width="11.25" customWidth="1"/>
    <col min="10" max="10" width="13.5" bestFit="1" customWidth="1"/>
    <col min="13" max="13" width="16.875" customWidth="1"/>
  </cols>
  <sheetData>
    <row r="1" spans="1:15" ht="15">
      <c r="A1" s="28" t="s">
        <v>56</v>
      </c>
      <c r="L1" s="45" t="s">
        <v>83</v>
      </c>
      <c r="M1" s="103">
        <f>MIN(L:L)</f>
        <v>2012</v>
      </c>
    </row>
    <row r="3" spans="1:15" ht="15" thickBot="1">
      <c r="A3" s="42" t="s">
        <v>27</v>
      </c>
      <c r="B3" s="43" t="s">
        <v>28</v>
      </c>
      <c r="C3" s="43" t="s">
        <v>29</v>
      </c>
      <c r="D3" s="43" t="s">
        <v>30</v>
      </c>
      <c r="E3" s="43" t="s">
        <v>31</v>
      </c>
      <c r="F3" s="43" t="s">
        <v>32</v>
      </c>
      <c r="G3" s="43" t="s">
        <v>33</v>
      </c>
      <c r="H3" s="43" t="s">
        <v>34</v>
      </c>
      <c r="I3" s="43" t="s">
        <v>35</v>
      </c>
      <c r="J3" s="43" t="s">
        <v>36</v>
      </c>
      <c r="K3" s="43" t="s">
        <v>37</v>
      </c>
      <c r="L3" s="43" t="s">
        <v>38</v>
      </c>
      <c r="M3" s="43" t="s">
        <v>39</v>
      </c>
      <c r="N3" s="43" t="s">
        <v>43</v>
      </c>
      <c r="O3" s="43" t="s">
        <v>44</v>
      </c>
    </row>
    <row r="4" spans="1:15">
      <c r="A4" s="99">
        <v>2012</v>
      </c>
      <c r="B4" s="100" t="s">
        <v>192</v>
      </c>
      <c r="C4" s="100" t="s">
        <v>193</v>
      </c>
      <c r="D4" s="101">
        <v>1062000</v>
      </c>
      <c r="E4" s="101">
        <v>0</v>
      </c>
      <c r="F4" s="101"/>
      <c r="G4" s="101">
        <v>33</v>
      </c>
      <c r="H4" s="101">
        <v>13</v>
      </c>
      <c r="I4" s="101"/>
      <c r="J4" s="101" t="s">
        <v>66</v>
      </c>
      <c r="K4" s="101" t="b">
        <v>1</v>
      </c>
      <c r="L4" s="97">
        <v>2019</v>
      </c>
      <c r="M4" s="98">
        <v>101893360.37</v>
      </c>
      <c r="N4" s="102">
        <v>41026</v>
      </c>
      <c r="O4" s="102">
        <v>41045</v>
      </c>
    </row>
    <row r="5" spans="1:15">
      <c r="A5" s="99">
        <v>2012</v>
      </c>
      <c r="B5" s="100" t="s">
        <v>192</v>
      </c>
      <c r="C5" s="100" t="s">
        <v>193</v>
      </c>
      <c r="D5" s="101">
        <v>1062000</v>
      </c>
      <c r="E5" s="101">
        <v>0</v>
      </c>
      <c r="F5" s="101"/>
      <c r="G5" s="101">
        <v>2</v>
      </c>
      <c r="H5" s="101" t="s">
        <v>94</v>
      </c>
      <c r="I5" s="101"/>
      <c r="J5" s="101" t="s">
        <v>95</v>
      </c>
      <c r="K5" s="101" t="b">
        <v>1</v>
      </c>
      <c r="L5" s="97">
        <v>2016</v>
      </c>
      <c r="M5" s="98">
        <v>330630158</v>
      </c>
      <c r="N5" s="102">
        <v>41026</v>
      </c>
      <c r="O5" s="102">
        <v>41045</v>
      </c>
    </row>
    <row r="6" spans="1:15">
      <c r="A6" s="99">
        <v>2012</v>
      </c>
      <c r="B6" s="100" t="s">
        <v>192</v>
      </c>
      <c r="C6" s="100" t="s">
        <v>193</v>
      </c>
      <c r="D6" s="101">
        <v>1062000</v>
      </c>
      <c r="E6" s="101">
        <v>0</v>
      </c>
      <c r="F6" s="101"/>
      <c r="G6" s="101">
        <v>12</v>
      </c>
      <c r="H6" s="101" t="s">
        <v>112</v>
      </c>
      <c r="I6" s="101"/>
      <c r="J6" s="101" t="s">
        <v>113</v>
      </c>
      <c r="K6" s="101" t="b">
        <v>0</v>
      </c>
      <c r="L6" s="97">
        <v>2015</v>
      </c>
      <c r="M6" s="98">
        <v>235898.36</v>
      </c>
      <c r="N6" s="102">
        <v>41026</v>
      </c>
      <c r="O6" s="102">
        <v>41045</v>
      </c>
    </row>
    <row r="7" spans="1:15">
      <c r="A7" s="99">
        <v>2012</v>
      </c>
      <c r="B7" s="100" t="s">
        <v>192</v>
      </c>
      <c r="C7" s="100" t="s">
        <v>193</v>
      </c>
      <c r="D7" s="101">
        <v>1062000</v>
      </c>
      <c r="E7" s="101">
        <v>0</v>
      </c>
      <c r="F7" s="101"/>
      <c r="G7" s="101">
        <v>40</v>
      </c>
      <c r="H7" s="101">
        <v>18</v>
      </c>
      <c r="I7" s="101" t="s">
        <v>194</v>
      </c>
      <c r="J7" s="101" t="s">
        <v>69</v>
      </c>
      <c r="K7" s="101" t="b">
        <v>0</v>
      </c>
      <c r="L7" s="97">
        <v>2028</v>
      </c>
      <c r="M7" s="98">
        <v>7.7000000000000002E-3</v>
      </c>
      <c r="N7" s="102">
        <v>41026</v>
      </c>
      <c r="O7" s="102">
        <v>41045</v>
      </c>
    </row>
    <row r="8" spans="1:15">
      <c r="A8" s="99">
        <v>2012</v>
      </c>
      <c r="B8" s="100" t="s">
        <v>192</v>
      </c>
      <c r="C8" s="100" t="s">
        <v>193</v>
      </c>
      <c r="D8" s="101">
        <v>1062000</v>
      </c>
      <c r="E8" s="101">
        <v>0</v>
      </c>
      <c r="F8" s="101"/>
      <c r="G8" s="101">
        <v>14</v>
      </c>
      <c r="H8" s="101">
        <v>3</v>
      </c>
      <c r="I8" s="101" t="s">
        <v>195</v>
      </c>
      <c r="J8" s="101" t="s">
        <v>116</v>
      </c>
      <c r="K8" s="101" t="b">
        <v>1</v>
      </c>
      <c r="L8" s="97">
        <v>2025</v>
      </c>
      <c r="M8" s="98">
        <v>26609434</v>
      </c>
      <c r="N8" s="102">
        <v>41026</v>
      </c>
      <c r="O8" s="102">
        <v>41045</v>
      </c>
    </row>
    <row r="9" spans="1:15">
      <c r="A9" s="99">
        <v>2012</v>
      </c>
      <c r="B9" s="100" t="s">
        <v>192</v>
      </c>
      <c r="C9" s="100" t="s">
        <v>193</v>
      </c>
      <c r="D9" s="101">
        <v>1062000</v>
      </c>
      <c r="E9" s="101">
        <v>0</v>
      </c>
      <c r="F9" s="101"/>
      <c r="G9" s="101">
        <v>48</v>
      </c>
      <c r="H9" s="101">
        <v>22</v>
      </c>
      <c r="I9" s="101" t="s">
        <v>196</v>
      </c>
      <c r="J9" s="101" t="s">
        <v>77</v>
      </c>
      <c r="K9" s="101" t="b">
        <v>0</v>
      </c>
      <c r="L9" s="97">
        <v>2021</v>
      </c>
      <c r="M9" s="98">
        <v>6.4699999999999994E-2</v>
      </c>
      <c r="N9" s="102">
        <v>41026</v>
      </c>
      <c r="O9" s="102">
        <v>41045</v>
      </c>
    </row>
    <row r="10" spans="1:15">
      <c r="A10" s="99">
        <v>2012</v>
      </c>
      <c r="B10" s="100" t="s">
        <v>192</v>
      </c>
      <c r="C10" s="100" t="s">
        <v>193</v>
      </c>
      <c r="D10" s="101">
        <v>1062000</v>
      </c>
      <c r="E10" s="101">
        <v>0</v>
      </c>
      <c r="F10" s="101"/>
      <c r="G10" s="101">
        <v>7</v>
      </c>
      <c r="H10" s="101">
        <v>2</v>
      </c>
      <c r="I10" s="101"/>
      <c r="J10" s="101" t="s">
        <v>3</v>
      </c>
      <c r="K10" s="101" t="b">
        <v>1</v>
      </c>
      <c r="L10" s="97">
        <v>2015</v>
      </c>
      <c r="M10" s="98">
        <v>301572283</v>
      </c>
      <c r="N10" s="102">
        <v>41026</v>
      </c>
      <c r="O10" s="102">
        <v>41045</v>
      </c>
    </row>
    <row r="11" spans="1:15">
      <c r="A11" s="99">
        <v>2012</v>
      </c>
      <c r="B11" s="100" t="s">
        <v>192</v>
      </c>
      <c r="C11" s="100" t="s">
        <v>193</v>
      </c>
      <c r="D11" s="101">
        <v>1062000</v>
      </c>
      <c r="E11" s="101">
        <v>0</v>
      </c>
      <c r="F11" s="101"/>
      <c r="G11" s="101">
        <v>50</v>
      </c>
      <c r="H11" s="101">
        <v>23</v>
      </c>
      <c r="I11" s="101" t="s">
        <v>197</v>
      </c>
      <c r="J11" s="101" t="s">
        <v>149</v>
      </c>
      <c r="K11" s="101" t="b">
        <v>1</v>
      </c>
      <c r="L11" s="97">
        <v>2028</v>
      </c>
      <c r="M11" s="98">
        <v>471399548</v>
      </c>
      <c r="N11" s="102">
        <v>41026</v>
      </c>
      <c r="O11" s="102">
        <v>41045</v>
      </c>
    </row>
    <row r="12" spans="1:15">
      <c r="A12" s="99">
        <v>2012</v>
      </c>
      <c r="B12" s="100" t="s">
        <v>192</v>
      </c>
      <c r="C12" s="100" t="s">
        <v>193</v>
      </c>
      <c r="D12" s="101">
        <v>1062000</v>
      </c>
      <c r="E12" s="101">
        <v>0</v>
      </c>
      <c r="F12" s="101"/>
      <c r="G12" s="101">
        <v>19</v>
      </c>
      <c r="H12" s="101">
        <v>6</v>
      </c>
      <c r="I12" s="101" t="s">
        <v>198</v>
      </c>
      <c r="J12" s="101" t="s">
        <v>121</v>
      </c>
      <c r="K12" s="101" t="b">
        <v>0</v>
      </c>
      <c r="L12" s="97">
        <v>2018</v>
      </c>
      <c r="M12" s="98">
        <v>31229358</v>
      </c>
      <c r="N12" s="102">
        <v>41026</v>
      </c>
      <c r="O12" s="102">
        <v>41045</v>
      </c>
    </row>
    <row r="13" spans="1:15">
      <c r="A13" s="99">
        <v>2012</v>
      </c>
      <c r="B13" s="100" t="s">
        <v>192</v>
      </c>
      <c r="C13" s="100" t="s">
        <v>193</v>
      </c>
      <c r="D13" s="101">
        <v>1062000</v>
      </c>
      <c r="E13" s="101">
        <v>0</v>
      </c>
      <c r="F13" s="101"/>
      <c r="G13" s="101">
        <v>49</v>
      </c>
      <c r="H13" s="101" t="s">
        <v>148</v>
      </c>
      <c r="I13" s="101" t="s">
        <v>199</v>
      </c>
      <c r="J13" s="101" t="s">
        <v>79</v>
      </c>
      <c r="K13" s="101" t="b">
        <v>0</v>
      </c>
      <c r="L13" s="97">
        <v>2014</v>
      </c>
      <c r="M13" s="98">
        <v>27</v>
      </c>
      <c r="N13" s="102">
        <v>41026</v>
      </c>
      <c r="O13" s="102">
        <v>41045</v>
      </c>
    </row>
    <row r="14" spans="1:15">
      <c r="A14" s="99">
        <v>2012</v>
      </c>
      <c r="B14" s="100" t="s">
        <v>192</v>
      </c>
      <c r="C14" s="100" t="s">
        <v>193</v>
      </c>
      <c r="D14" s="101">
        <v>1062000</v>
      </c>
      <c r="E14" s="101">
        <v>0</v>
      </c>
      <c r="F14" s="101"/>
      <c r="G14" s="101">
        <v>42</v>
      </c>
      <c r="H14" s="101">
        <v>19</v>
      </c>
      <c r="I14" s="101" t="s">
        <v>200</v>
      </c>
      <c r="J14" s="101" t="s">
        <v>72</v>
      </c>
      <c r="K14" s="101" t="b">
        <v>1</v>
      </c>
      <c r="L14" s="97">
        <v>2020</v>
      </c>
      <c r="M14" s="98">
        <v>6.5100000000000005E-2</v>
      </c>
      <c r="N14" s="102">
        <v>41026</v>
      </c>
      <c r="O14" s="102">
        <v>41045</v>
      </c>
    </row>
    <row r="15" spans="1:15">
      <c r="A15" s="99">
        <v>2012</v>
      </c>
      <c r="B15" s="100" t="s">
        <v>192</v>
      </c>
      <c r="C15" s="100" t="s">
        <v>193</v>
      </c>
      <c r="D15" s="101">
        <v>1062000</v>
      </c>
      <c r="E15" s="101">
        <v>0</v>
      </c>
      <c r="F15" s="101"/>
      <c r="G15" s="101">
        <v>27</v>
      </c>
      <c r="H15" s="101">
        <v>10</v>
      </c>
      <c r="I15" s="101"/>
      <c r="J15" s="101" t="s">
        <v>18</v>
      </c>
      <c r="K15" s="101" t="b">
        <v>0</v>
      </c>
      <c r="L15" s="97">
        <v>2026</v>
      </c>
      <c r="M15" s="98">
        <v>23694932</v>
      </c>
      <c r="N15" s="102">
        <v>41026</v>
      </c>
      <c r="O15" s="102">
        <v>41045</v>
      </c>
    </row>
    <row r="16" spans="1:15">
      <c r="A16" s="99">
        <v>2012</v>
      </c>
      <c r="B16" s="100" t="s">
        <v>192</v>
      </c>
      <c r="C16" s="100" t="s">
        <v>193</v>
      </c>
      <c r="D16" s="101">
        <v>1062000</v>
      </c>
      <c r="E16" s="101">
        <v>0</v>
      </c>
      <c r="F16" s="101"/>
      <c r="G16" s="101">
        <v>14</v>
      </c>
      <c r="H16" s="101">
        <v>3</v>
      </c>
      <c r="I16" s="101" t="s">
        <v>195</v>
      </c>
      <c r="J16" s="101" t="s">
        <v>116</v>
      </c>
      <c r="K16" s="101" t="b">
        <v>1</v>
      </c>
      <c r="L16" s="97">
        <v>2016</v>
      </c>
      <c r="M16" s="98">
        <v>31310706</v>
      </c>
      <c r="N16" s="102">
        <v>41026</v>
      </c>
      <c r="O16" s="102">
        <v>41045</v>
      </c>
    </row>
    <row r="17" spans="1:15">
      <c r="A17" s="99">
        <v>2012</v>
      </c>
      <c r="B17" s="100" t="s">
        <v>192</v>
      </c>
      <c r="C17" s="100" t="s">
        <v>193</v>
      </c>
      <c r="D17" s="101">
        <v>1062000</v>
      </c>
      <c r="E17" s="101">
        <v>0</v>
      </c>
      <c r="F17" s="101"/>
      <c r="G17" s="101">
        <v>43</v>
      </c>
      <c r="H17" s="101" t="s">
        <v>144</v>
      </c>
      <c r="I17" s="101" t="s">
        <v>201</v>
      </c>
      <c r="J17" s="101" t="s">
        <v>74</v>
      </c>
      <c r="K17" s="101" t="b">
        <v>0</v>
      </c>
      <c r="L17" s="97">
        <v>2020</v>
      </c>
      <c r="M17" s="98">
        <v>6.5100000000000005E-2</v>
      </c>
      <c r="N17" s="102">
        <v>41026</v>
      </c>
      <c r="O17" s="102">
        <v>41045</v>
      </c>
    </row>
    <row r="18" spans="1:15">
      <c r="A18" s="99">
        <v>2012</v>
      </c>
      <c r="B18" s="100" t="s">
        <v>192</v>
      </c>
      <c r="C18" s="100" t="s">
        <v>193</v>
      </c>
      <c r="D18" s="101">
        <v>1062000</v>
      </c>
      <c r="E18" s="101">
        <v>0</v>
      </c>
      <c r="F18" s="101"/>
      <c r="G18" s="101">
        <v>14</v>
      </c>
      <c r="H18" s="101">
        <v>3</v>
      </c>
      <c r="I18" s="101" t="s">
        <v>195</v>
      </c>
      <c r="J18" s="101" t="s">
        <v>116</v>
      </c>
      <c r="K18" s="101" t="b">
        <v>1</v>
      </c>
      <c r="L18" s="97">
        <v>2013</v>
      </c>
      <c r="M18" s="98">
        <v>111211949.34999999</v>
      </c>
      <c r="N18" s="102">
        <v>41026</v>
      </c>
      <c r="O18" s="102">
        <v>41045</v>
      </c>
    </row>
    <row r="19" spans="1:15">
      <c r="A19" s="99">
        <v>2012</v>
      </c>
      <c r="B19" s="100" t="s">
        <v>192</v>
      </c>
      <c r="C19" s="100" t="s">
        <v>193</v>
      </c>
      <c r="D19" s="101">
        <v>1062000</v>
      </c>
      <c r="E19" s="101">
        <v>0</v>
      </c>
      <c r="F19" s="101"/>
      <c r="G19" s="101">
        <v>51</v>
      </c>
      <c r="H19" s="101">
        <v>24</v>
      </c>
      <c r="I19" s="101" t="s">
        <v>202</v>
      </c>
      <c r="J19" s="101" t="s">
        <v>150</v>
      </c>
      <c r="K19" s="101" t="b">
        <v>1</v>
      </c>
      <c r="L19" s="97">
        <v>2024</v>
      </c>
      <c r="M19" s="98">
        <v>393592186</v>
      </c>
      <c r="N19" s="102">
        <v>41026</v>
      </c>
      <c r="O19" s="102">
        <v>41045</v>
      </c>
    </row>
    <row r="20" spans="1:15">
      <c r="A20" s="99">
        <v>2012</v>
      </c>
      <c r="B20" s="100" t="s">
        <v>192</v>
      </c>
      <c r="C20" s="100" t="s">
        <v>193</v>
      </c>
      <c r="D20" s="101">
        <v>1062000</v>
      </c>
      <c r="E20" s="101">
        <v>0</v>
      </c>
      <c r="F20" s="101"/>
      <c r="G20" s="101">
        <v>45</v>
      </c>
      <c r="H20" s="101" t="s">
        <v>146</v>
      </c>
      <c r="I20" s="101" t="s">
        <v>203</v>
      </c>
      <c r="J20" s="101" t="s">
        <v>53</v>
      </c>
      <c r="K20" s="101" t="b">
        <v>0</v>
      </c>
      <c r="L20" s="97">
        <v>2028</v>
      </c>
      <c r="M20" s="98">
        <v>6.1400000000000003E-2</v>
      </c>
      <c r="N20" s="102">
        <v>41026</v>
      </c>
      <c r="O20" s="102">
        <v>41045</v>
      </c>
    </row>
    <row r="21" spans="1:15">
      <c r="A21" s="99">
        <v>2012</v>
      </c>
      <c r="B21" s="100" t="s">
        <v>192</v>
      </c>
      <c r="C21" s="100" t="s">
        <v>193</v>
      </c>
      <c r="D21" s="101">
        <v>1062000</v>
      </c>
      <c r="E21" s="101">
        <v>0</v>
      </c>
      <c r="F21" s="101"/>
      <c r="G21" s="101">
        <v>9</v>
      </c>
      <c r="H21" s="101" t="s">
        <v>106</v>
      </c>
      <c r="I21" s="101"/>
      <c r="J21" s="101" t="s">
        <v>107</v>
      </c>
      <c r="K21" s="101" t="b">
        <v>0</v>
      </c>
      <c r="L21" s="97">
        <v>2028</v>
      </c>
      <c r="M21" s="98">
        <v>24410120</v>
      </c>
      <c r="N21" s="102">
        <v>41026</v>
      </c>
      <c r="O21" s="102">
        <v>41045</v>
      </c>
    </row>
    <row r="22" spans="1:15">
      <c r="A22" s="99">
        <v>2012</v>
      </c>
      <c r="B22" s="100" t="s">
        <v>192</v>
      </c>
      <c r="C22" s="100" t="s">
        <v>193</v>
      </c>
      <c r="D22" s="101">
        <v>1062000</v>
      </c>
      <c r="E22" s="101">
        <v>0</v>
      </c>
      <c r="F22" s="101"/>
      <c r="G22" s="101">
        <v>26</v>
      </c>
      <c r="H22" s="101">
        <v>9</v>
      </c>
      <c r="I22" s="101" t="s">
        <v>204</v>
      </c>
      <c r="J22" s="101" t="s">
        <v>131</v>
      </c>
      <c r="K22" s="101" t="b">
        <v>0</v>
      </c>
      <c r="L22" s="97">
        <v>2030</v>
      </c>
      <c r="M22" s="98">
        <v>30767989</v>
      </c>
      <c r="N22" s="102">
        <v>41026</v>
      </c>
      <c r="O22" s="102">
        <v>41045</v>
      </c>
    </row>
    <row r="23" spans="1:15">
      <c r="A23" s="99">
        <v>2012</v>
      </c>
      <c r="B23" s="100" t="s">
        <v>192</v>
      </c>
      <c r="C23" s="100" t="s">
        <v>193</v>
      </c>
      <c r="D23" s="101">
        <v>1062000</v>
      </c>
      <c r="E23" s="101">
        <v>0</v>
      </c>
      <c r="F23" s="101"/>
      <c r="G23" s="101">
        <v>40</v>
      </c>
      <c r="H23" s="101">
        <v>18</v>
      </c>
      <c r="I23" s="101" t="s">
        <v>194</v>
      </c>
      <c r="J23" s="101" t="s">
        <v>69</v>
      </c>
      <c r="K23" s="101" t="b">
        <v>0</v>
      </c>
      <c r="L23" s="97">
        <v>2021</v>
      </c>
      <c r="M23" s="98">
        <v>0.15260000000000001</v>
      </c>
      <c r="N23" s="102">
        <v>41026</v>
      </c>
      <c r="O23" s="102">
        <v>41045</v>
      </c>
    </row>
    <row r="24" spans="1:15">
      <c r="A24" s="99">
        <v>2012</v>
      </c>
      <c r="B24" s="100" t="s">
        <v>192</v>
      </c>
      <c r="C24" s="100" t="s">
        <v>193</v>
      </c>
      <c r="D24" s="101">
        <v>1062000</v>
      </c>
      <c r="E24" s="101">
        <v>0</v>
      </c>
      <c r="F24" s="101"/>
      <c r="G24" s="101">
        <v>48</v>
      </c>
      <c r="H24" s="101">
        <v>22</v>
      </c>
      <c r="I24" s="101" t="s">
        <v>196</v>
      </c>
      <c r="J24" s="101" t="s">
        <v>77</v>
      </c>
      <c r="K24" s="101" t="b">
        <v>0</v>
      </c>
      <c r="L24" s="97">
        <v>2018</v>
      </c>
      <c r="M24" s="98">
        <v>6.3E-2</v>
      </c>
      <c r="N24" s="102">
        <v>41026</v>
      </c>
      <c r="O24" s="102">
        <v>41045</v>
      </c>
    </row>
    <row r="25" spans="1:15">
      <c r="A25" s="99">
        <v>2012</v>
      </c>
      <c r="B25" s="100" t="s">
        <v>192</v>
      </c>
      <c r="C25" s="100" t="s">
        <v>193</v>
      </c>
      <c r="D25" s="101">
        <v>1062000</v>
      </c>
      <c r="E25" s="101">
        <v>0</v>
      </c>
      <c r="F25" s="101"/>
      <c r="G25" s="101">
        <v>42</v>
      </c>
      <c r="H25" s="101">
        <v>19</v>
      </c>
      <c r="I25" s="101" t="s">
        <v>200</v>
      </c>
      <c r="J25" s="101" t="s">
        <v>72</v>
      </c>
      <c r="K25" s="101" t="b">
        <v>1</v>
      </c>
      <c r="L25" s="97">
        <v>2025</v>
      </c>
      <c r="M25" s="98">
        <v>8.6E-3</v>
      </c>
      <c r="N25" s="102">
        <v>41026</v>
      </c>
      <c r="O25" s="102">
        <v>41045</v>
      </c>
    </row>
    <row r="26" spans="1:15">
      <c r="A26" s="99">
        <v>2012</v>
      </c>
      <c r="B26" s="100" t="s">
        <v>192</v>
      </c>
      <c r="C26" s="100" t="s">
        <v>193</v>
      </c>
      <c r="D26" s="101">
        <v>1062000</v>
      </c>
      <c r="E26" s="101">
        <v>0</v>
      </c>
      <c r="F26" s="101"/>
      <c r="G26" s="101">
        <v>4</v>
      </c>
      <c r="H26" s="101" t="s">
        <v>98</v>
      </c>
      <c r="I26" s="101"/>
      <c r="J26" s="101" t="s">
        <v>99</v>
      </c>
      <c r="K26" s="101" t="b">
        <v>1</v>
      </c>
      <c r="L26" s="97">
        <v>2030</v>
      </c>
      <c r="M26" s="98">
        <v>500000</v>
      </c>
      <c r="N26" s="102">
        <v>41026</v>
      </c>
      <c r="O26" s="102">
        <v>41045</v>
      </c>
    </row>
    <row r="27" spans="1:15">
      <c r="A27" s="99">
        <v>2012</v>
      </c>
      <c r="B27" s="100" t="s">
        <v>192</v>
      </c>
      <c r="C27" s="100" t="s">
        <v>193</v>
      </c>
      <c r="D27" s="101">
        <v>1062000</v>
      </c>
      <c r="E27" s="101">
        <v>0</v>
      </c>
      <c r="F27" s="101"/>
      <c r="G27" s="101">
        <v>55</v>
      </c>
      <c r="H27" s="101">
        <v>28</v>
      </c>
      <c r="I27" s="101" t="s">
        <v>205</v>
      </c>
      <c r="J27" s="101" t="s">
        <v>48</v>
      </c>
      <c r="K27" s="101" t="b">
        <v>0</v>
      </c>
      <c r="L27" s="97">
        <v>2014</v>
      </c>
      <c r="M27" s="98">
        <v>-6593545</v>
      </c>
      <c r="N27" s="102">
        <v>41026</v>
      </c>
      <c r="O27" s="102">
        <v>41045</v>
      </c>
    </row>
    <row r="28" spans="1:15">
      <c r="A28" s="99">
        <v>2012</v>
      </c>
      <c r="B28" s="100" t="s">
        <v>192</v>
      </c>
      <c r="C28" s="100" t="s">
        <v>193</v>
      </c>
      <c r="D28" s="101">
        <v>1062000</v>
      </c>
      <c r="E28" s="101">
        <v>0</v>
      </c>
      <c r="F28" s="101"/>
      <c r="G28" s="101">
        <v>48</v>
      </c>
      <c r="H28" s="101">
        <v>22</v>
      </c>
      <c r="I28" s="101" t="s">
        <v>196</v>
      </c>
      <c r="J28" s="101" t="s">
        <v>77</v>
      </c>
      <c r="K28" s="101" t="b">
        <v>0</v>
      </c>
      <c r="L28" s="97">
        <v>2016</v>
      </c>
      <c r="M28" s="98">
        <v>7.1800000000000003E-2</v>
      </c>
      <c r="N28" s="102">
        <v>41026</v>
      </c>
      <c r="O28" s="102">
        <v>41045</v>
      </c>
    </row>
    <row r="29" spans="1:15">
      <c r="A29" s="99">
        <v>2012</v>
      </c>
      <c r="B29" s="100" t="s">
        <v>192</v>
      </c>
      <c r="C29" s="100" t="s">
        <v>193</v>
      </c>
      <c r="D29" s="101">
        <v>1062000</v>
      </c>
      <c r="E29" s="101">
        <v>0</v>
      </c>
      <c r="F29" s="101"/>
      <c r="G29" s="101">
        <v>47</v>
      </c>
      <c r="H29" s="101" t="s">
        <v>147</v>
      </c>
      <c r="I29" s="101" t="s">
        <v>206</v>
      </c>
      <c r="J29" s="101" t="s">
        <v>76</v>
      </c>
      <c r="K29" s="101" t="b">
        <v>0</v>
      </c>
      <c r="L29" s="97">
        <v>2026</v>
      </c>
      <c r="M29" s="98">
        <v>548</v>
      </c>
      <c r="N29" s="102">
        <v>41026</v>
      </c>
      <c r="O29" s="102">
        <v>41045</v>
      </c>
    </row>
    <row r="30" spans="1:15">
      <c r="A30" s="99">
        <v>2012</v>
      </c>
      <c r="B30" s="100" t="s">
        <v>192</v>
      </c>
      <c r="C30" s="100" t="s">
        <v>193</v>
      </c>
      <c r="D30" s="101">
        <v>1062000</v>
      </c>
      <c r="E30" s="101">
        <v>0</v>
      </c>
      <c r="F30" s="101"/>
      <c r="G30" s="101">
        <v>55</v>
      </c>
      <c r="H30" s="101">
        <v>28</v>
      </c>
      <c r="I30" s="101" t="s">
        <v>205</v>
      </c>
      <c r="J30" s="101" t="s">
        <v>48</v>
      </c>
      <c r="K30" s="101" t="b">
        <v>0</v>
      </c>
      <c r="L30" s="97">
        <v>2021</v>
      </c>
      <c r="M30" s="98">
        <v>22083017</v>
      </c>
      <c r="N30" s="102">
        <v>41026</v>
      </c>
      <c r="O30" s="102">
        <v>41045</v>
      </c>
    </row>
    <row r="31" spans="1:15">
      <c r="A31" s="99">
        <v>2012</v>
      </c>
      <c r="B31" s="100" t="s">
        <v>192</v>
      </c>
      <c r="C31" s="100" t="s">
        <v>193</v>
      </c>
      <c r="D31" s="101">
        <v>1062000</v>
      </c>
      <c r="E31" s="101">
        <v>0</v>
      </c>
      <c r="F31" s="101"/>
      <c r="G31" s="101">
        <v>44</v>
      </c>
      <c r="H31" s="101">
        <v>20</v>
      </c>
      <c r="I31" s="101" t="s">
        <v>207</v>
      </c>
      <c r="J31" s="101" t="s">
        <v>145</v>
      </c>
      <c r="K31" s="101" t="b">
        <v>1</v>
      </c>
      <c r="L31" s="97">
        <v>2023</v>
      </c>
      <c r="M31" s="98">
        <v>6.6600000000000006E-2</v>
      </c>
      <c r="N31" s="102">
        <v>41026</v>
      </c>
      <c r="O31" s="102">
        <v>41045</v>
      </c>
    </row>
    <row r="32" spans="1:15">
      <c r="A32" s="99">
        <v>2012</v>
      </c>
      <c r="B32" s="100" t="s">
        <v>192</v>
      </c>
      <c r="C32" s="100" t="s">
        <v>193</v>
      </c>
      <c r="D32" s="101">
        <v>1062000</v>
      </c>
      <c r="E32" s="101">
        <v>0</v>
      </c>
      <c r="F32" s="101"/>
      <c r="G32" s="101">
        <v>46</v>
      </c>
      <c r="H32" s="101">
        <v>21</v>
      </c>
      <c r="I32" s="101" t="s">
        <v>208</v>
      </c>
      <c r="J32" s="101" t="s">
        <v>54</v>
      </c>
      <c r="K32" s="101" t="b">
        <v>1</v>
      </c>
      <c r="L32" s="97">
        <v>2016</v>
      </c>
      <c r="M32" s="98">
        <v>7.1800000000000003E-2</v>
      </c>
      <c r="N32" s="102">
        <v>41026</v>
      </c>
      <c r="O32" s="102">
        <v>41045</v>
      </c>
    </row>
    <row r="33" spans="1:15">
      <c r="A33" s="99">
        <v>2012</v>
      </c>
      <c r="B33" s="100" t="s">
        <v>192</v>
      </c>
      <c r="C33" s="100" t="s">
        <v>193</v>
      </c>
      <c r="D33" s="101">
        <v>1062000</v>
      </c>
      <c r="E33" s="101">
        <v>0</v>
      </c>
      <c r="F33" s="101"/>
      <c r="G33" s="101">
        <v>8</v>
      </c>
      <c r="H33" s="101" t="s">
        <v>104</v>
      </c>
      <c r="I33" s="101"/>
      <c r="J33" s="101" t="s">
        <v>105</v>
      </c>
      <c r="K33" s="101" t="b">
        <v>0</v>
      </c>
      <c r="L33" s="97">
        <v>2015</v>
      </c>
      <c r="M33" s="98">
        <v>144301930</v>
      </c>
      <c r="N33" s="102">
        <v>41026</v>
      </c>
      <c r="O33" s="102">
        <v>41045</v>
      </c>
    </row>
    <row r="34" spans="1:15">
      <c r="A34" s="99">
        <v>2012</v>
      </c>
      <c r="B34" s="100" t="s">
        <v>192</v>
      </c>
      <c r="C34" s="100" t="s">
        <v>193</v>
      </c>
      <c r="D34" s="101">
        <v>1062000</v>
      </c>
      <c r="E34" s="101">
        <v>0</v>
      </c>
      <c r="F34" s="101"/>
      <c r="G34" s="101">
        <v>24</v>
      </c>
      <c r="H34" s="101" t="s">
        <v>128</v>
      </c>
      <c r="I34" s="101"/>
      <c r="J34" s="101" t="s">
        <v>129</v>
      </c>
      <c r="K34" s="101" t="b">
        <v>1</v>
      </c>
      <c r="L34" s="97">
        <v>2025</v>
      </c>
      <c r="M34" s="98">
        <v>90632</v>
      </c>
      <c r="N34" s="102">
        <v>41026</v>
      </c>
      <c r="O34" s="102">
        <v>41045</v>
      </c>
    </row>
    <row r="35" spans="1:15">
      <c r="A35" s="99">
        <v>2012</v>
      </c>
      <c r="B35" s="100" t="s">
        <v>192</v>
      </c>
      <c r="C35" s="100" t="s">
        <v>193</v>
      </c>
      <c r="D35" s="101">
        <v>1062000</v>
      </c>
      <c r="E35" s="101">
        <v>0</v>
      </c>
      <c r="F35" s="101"/>
      <c r="G35" s="101">
        <v>21</v>
      </c>
      <c r="H35" s="101" t="s">
        <v>122</v>
      </c>
      <c r="I35" s="101"/>
      <c r="J35" s="101" t="s">
        <v>123</v>
      </c>
      <c r="K35" s="101" t="b">
        <v>1</v>
      </c>
      <c r="L35" s="97">
        <v>2022</v>
      </c>
      <c r="M35" s="98">
        <v>22649236</v>
      </c>
      <c r="N35" s="102">
        <v>41026</v>
      </c>
      <c r="O35" s="102">
        <v>41045</v>
      </c>
    </row>
    <row r="36" spans="1:15">
      <c r="A36" s="99">
        <v>2012</v>
      </c>
      <c r="B36" s="100" t="s">
        <v>192</v>
      </c>
      <c r="C36" s="100" t="s">
        <v>193</v>
      </c>
      <c r="D36" s="101">
        <v>1062000</v>
      </c>
      <c r="E36" s="101">
        <v>0</v>
      </c>
      <c r="F36" s="101"/>
      <c r="G36" s="101">
        <v>26</v>
      </c>
      <c r="H36" s="101">
        <v>9</v>
      </c>
      <c r="I36" s="101" t="s">
        <v>204</v>
      </c>
      <c r="J36" s="101" t="s">
        <v>131</v>
      </c>
      <c r="K36" s="101" t="b">
        <v>0</v>
      </c>
      <c r="L36" s="97">
        <v>2023</v>
      </c>
      <c r="M36" s="98">
        <v>12605600</v>
      </c>
      <c r="N36" s="102">
        <v>41026</v>
      </c>
      <c r="O36" s="102">
        <v>41045</v>
      </c>
    </row>
    <row r="37" spans="1:15">
      <c r="A37" s="99">
        <v>2012</v>
      </c>
      <c r="B37" s="100" t="s">
        <v>192</v>
      </c>
      <c r="C37" s="100" t="s">
        <v>193</v>
      </c>
      <c r="D37" s="101">
        <v>1062000</v>
      </c>
      <c r="E37" s="101">
        <v>0</v>
      </c>
      <c r="F37" s="101"/>
      <c r="G37" s="101">
        <v>49</v>
      </c>
      <c r="H37" s="101" t="s">
        <v>148</v>
      </c>
      <c r="I37" s="101" t="s">
        <v>199</v>
      </c>
      <c r="J37" s="101" t="s">
        <v>79</v>
      </c>
      <c r="K37" s="101" t="b">
        <v>0</v>
      </c>
      <c r="L37" s="97">
        <v>2026</v>
      </c>
      <c r="M37" s="98">
        <v>548</v>
      </c>
      <c r="N37" s="102">
        <v>41026</v>
      </c>
      <c r="O37" s="102">
        <v>41045</v>
      </c>
    </row>
    <row r="38" spans="1:15">
      <c r="A38" s="99">
        <v>2012</v>
      </c>
      <c r="B38" s="100" t="s">
        <v>192</v>
      </c>
      <c r="C38" s="100" t="s">
        <v>193</v>
      </c>
      <c r="D38" s="101">
        <v>1062000</v>
      </c>
      <c r="E38" s="101">
        <v>0</v>
      </c>
      <c r="F38" s="101"/>
      <c r="G38" s="101">
        <v>47</v>
      </c>
      <c r="H38" s="101" t="s">
        <v>147</v>
      </c>
      <c r="I38" s="101" t="s">
        <v>206</v>
      </c>
      <c r="J38" s="101" t="s">
        <v>76</v>
      </c>
      <c r="K38" s="101" t="b">
        <v>0</v>
      </c>
      <c r="L38" s="97">
        <v>2016</v>
      </c>
      <c r="M38" s="98">
        <v>46</v>
      </c>
      <c r="N38" s="102">
        <v>41026</v>
      </c>
      <c r="O38" s="102">
        <v>41045</v>
      </c>
    </row>
    <row r="39" spans="1:15">
      <c r="A39" s="99">
        <v>2012</v>
      </c>
      <c r="B39" s="100" t="s">
        <v>192</v>
      </c>
      <c r="C39" s="100" t="s">
        <v>193</v>
      </c>
      <c r="D39" s="101">
        <v>1062000</v>
      </c>
      <c r="E39" s="101">
        <v>0</v>
      </c>
      <c r="F39" s="101"/>
      <c r="G39" s="101">
        <v>12</v>
      </c>
      <c r="H39" s="101" t="s">
        <v>112</v>
      </c>
      <c r="I39" s="101"/>
      <c r="J39" s="101" t="s">
        <v>113</v>
      </c>
      <c r="K39" s="101" t="b">
        <v>0</v>
      </c>
      <c r="L39" s="97">
        <v>2027</v>
      </c>
      <c r="M39" s="98">
        <v>28419.4</v>
      </c>
      <c r="N39" s="102">
        <v>41026</v>
      </c>
      <c r="O39" s="102">
        <v>41045</v>
      </c>
    </row>
    <row r="40" spans="1:15">
      <c r="A40" s="99">
        <v>2012</v>
      </c>
      <c r="B40" s="100" t="s">
        <v>192</v>
      </c>
      <c r="C40" s="100" t="s">
        <v>193</v>
      </c>
      <c r="D40" s="101">
        <v>1062000</v>
      </c>
      <c r="E40" s="101">
        <v>0</v>
      </c>
      <c r="F40" s="101"/>
      <c r="G40" s="101">
        <v>48</v>
      </c>
      <c r="H40" s="101">
        <v>22</v>
      </c>
      <c r="I40" s="101" t="s">
        <v>196</v>
      </c>
      <c r="J40" s="101" t="s">
        <v>77</v>
      </c>
      <c r="K40" s="101" t="b">
        <v>0</v>
      </c>
      <c r="L40" s="97">
        <v>2022</v>
      </c>
      <c r="M40" s="98">
        <v>6.1699999999999998E-2</v>
      </c>
      <c r="N40" s="102">
        <v>41026</v>
      </c>
      <c r="O40" s="102">
        <v>41045</v>
      </c>
    </row>
    <row r="41" spans="1:15">
      <c r="A41" s="99">
        <v>2012</v>
      </c>
      <c r="B41" s="100" t="s">
        <v>192</v>
      </c>
      <c r="C41" s="100" t="s">
        <v>193</v>
      </c>
      <c r="D41" s="101">
        <v>1062000</v>
      </c>
      <c r="E41" s="101">
        <v>0</v>
      </c>
      <c r="F41" s="101"/>
      <c r="G41" s="101">
        <v>24</v>
      </c>
      <c r="H41" s="101" t="s">
        <v>128</v>
      </c>
      <c r="I41" s="101"/>
      <c r="J41" s="101" t="s">
        <v>129</v>
      </c>
      <c r="K41" s="101" t="b">
        <v>1</v>
      </c>
      <c r="L41" s="97">
        <v>2019</v>
      </c>
      <c r="M41" s="98">
        <v>4846425</v>
      </c>
      <c r="N41" s="102">
        <v>41026</v>
      </c>
      <c r="O41" s="102">
        <v>41045</v>
      </c>
    </row>
    <row r="42" spans="1:15">
      <c r="A42" s="99">
        <v>2012</v>
      </c>
      <c r="B42" s="100" t="s">
        <v>192</v>
      </c>
      <c r="C42" s="100" t="s">
        <v>193</v>
      </c>
      <c r="D42" s="101">
        <v>1062000</v>
      </c>
      <c r="E42" s="101">
        <v>0</v>
      </c>
      <c r="F42" s="101"/>
      <c r="G42" s="101">
        <v>14</v>
      </c>
      <c r="H42" s="101">
        <v>3</v>
      </c>
      <c r="I42" s="101" t="s">
        <v>195</v>
      </c>
      <c r="J42" s="101" t="s">
        <v>116</v>
      </c>
      <c r="K42" s="101" t="b">
        <v>1</v>
      </c>
      <c r="L42" s="97">
        <v>2019</v>
      </c>
      <c r="M42" s="98">
        <v>28866239</v>
      </c>
      <c r="N42" s="102">
        <v>41026</v>
      </c>
      <c r="O42" s="102">
        <v>41045</v>
      </c>
    </row>
    <row r="43" spans="1:15">
      <c r="A43" s="99">
        <v>2012</v>
      </c>
      <c r="B43" s="100" t="s">
        <v>192</v>
      </c>
      <c r="C43" s="100" t="s">
        <v>193</v>
      </c>
      <c r="D43" s="101">
        <v>1062000</v>
      </c>
      <c r="E43" s="101">
        <v>0</v>
      </c>
      <c r="F43" s="101"/>
      <c r="G43" s="101">
        <v>49</v>
      </c>
      <c r="H43" s="101" t="s">
        <v>148</v>
      </c>
      <c r="I43" s="101" t="s">
        <v>199</v>
      </c>
      <c r="J43" s="101" t="s">
        <v>79</v>
      </c>
      <c r="K43" s="101" t="b">
        <v>0</v>
      </c>
      <c r="L43" s="97">
        <v>2012</v>
      </c>
      <c r="M43" s="98">
        <v>137</v>
      </c>
      <c r="N43" s="102">
        <v>41026</v>
      </c>
      <c r="O43" s="102">
        <v>41045</v>
      </c>
    </row>
    <row r="44" spans="1:15">
      <c r="A44" s="99">
        <v>2012</v>
      </c>
      <c r="B44" s="100" t="s">
        <v>192</v>
      </c>
      <c r="C44" s="100" t="s">
        <v>193</v>
      </c>
      <c r="D44" s="101">
        <v>1062000</v>
      </c>
      <c r="E44" s="101">
        <v>0</v>
      </c>
      <c r="F44" s="101"/>
      <c r="G44" s="101">
        <v>44</v>
      </c>
      <c r="H44" s="101">
        <v>20</v>
      </c>
      <c r="I44" s="101" t="s">
        <v>207</v>
      </c>
      <c r="J44" s="101" t="s">
        <v>145</v>
      </c>
      <c r="K44" s="101" t="b">
        <v>1</v>
      </c>
      <c r="L44" s="97">
        <v>2016</v>
      </c>
      <c r="M44" s="98">
        <v>7.0900000000000005E-2</v>
      </c>
      <c r="N44" s="102">
        <v>41026</v>
      </c>
      <c r="O44" s="102">
        <v>41045</v>
      </c>
    </row>
    <row r="45" spans="1:15">
      <c r="A45" s="99">
        <v>2012</v>
      </c>
      <c r="B45" s="100" t="s">
        <v>192</v>
      </c>
      <c r="C45" s="100" t="s">
        <v>193</v>
      </c>
      <c r="D45" s="101">
        <v>1062000</v>
      </c>
      <c r="E45" s="101">
        <v>0</v>
      </c>
      <c r="F45" s="101"/>
      <c r="G45" s="101">
        <v>57</v>
      </c>
      <c r="H45" s="101">
        <v>30</v>
      </c>
      <c r="I45" s="101" t="s">
        <v>209</v>
      </c>
      <c r="J45" s="101" t="s">
        <v>153</v>
      </c>
      <c r="K45" s="101" t="b">
        <v>0</v>
      </c>
      <c r="L45" s="97">
        <v>2012</v>
      </c>
      <c r="M45" s="98">
        <v>15146584.24</v>
      </c>
      <c r="N45" s="102">
        <v>41026</v>
      </c>
      <c r="O45" s="102">
        <v>41045</v>
      </c>
    </row>
    <row r="46" spans="1:15">
      <c r="A46" s="99">
        <v>2012</v>
      </c>
      <c r="B46" s="100" t="s">
        <v>192</v>
      </c>
      <c r="C46" s="100" t="s">
        <v>193</v>
      </c>
      <c r="D46" s="101">
        <v>1062000</v>
      </c>
      <c r="E46" s="101">
        <v>0</v>
      </c>
      <c r="F46" s="101"/>
      <c r="G46" s="101">
        <v>48</v>
      </c>
      <c r="H46" s="101">
        <v>22</v>
      </c>
      <c r="I46" s="101" t="s">
        <v>196</v>
      </c>
      <c r="J46" s="101" t="s">
        <v>77</v>
      </c>
      <c r="K46" s="101" t="b">
        <v>0</v>
      </c>
      <c r="L46" s="97">
        <v>2029</v>
      </c>
      <c r="M46" s="98">
        <v>7.4999999999999997E-3</v>
      </c>
      <c r="N46" s="102">
        <v>41026</v>
      </c>
      <c r="O46" s="102">
        <v>41045</v>
      </c>
    </row>
    <row r="47" spans="1:15">
      <c r="A47" s="99">
        <v>2012</v>
      </c>
      <c r="B47" s="100" t="s">
        <v>192</v>
      </c>
      <c r="C47" s="100" t="s">
        <v>193</v>
      </c>
      <c r="D47" s="101">
        <v>1062000</v>
      </c>
      <c r="E47" s="101">
        <v>0</v>
      </c>
      <c r="F47" s="101"/>
      <c r="G47" s="101">
        <v>30</v>
      </c>
      <c r="H47" s="101">
        <v>11</v>
      </c>
      <c r="I47" s="101"/>
      <c r="J47" s="101" t="s">
        <v>62</v>
      </c>
      <c r="K47" s="101" t="b">
        <v>1</v>
      </c>
      <c r="L47" s="97">
        <v>2012</v>
      </c>
      <c r="M47" s="98">
        <v>45162003.789999999</v>
      </c>
      <c r="N47" s="102">
        <v>41026</v>
      </c>
      <c r="O47" s="102">
        <v>41045</v>
      </c>
    </row>
    <row r="48" spans="1:15">
      <c r="A48" s="99">
        <v>2012</v>
      </c>
      <c r="B48" s="100" t="s">
        <v>192</v>
      </c>
      <c r="C48" s="100" t="s">
        <v>193</v>
      </c>
      <c r="D48" s="101">
        <v>1062000</v>
      </c>
      <c r="E48" s="101">
        <v>0</v>
      </c>
      <c r="F48" s="101"/>
      <c r="G48" s="101">
        <v>46</v>
      </c>
      <c r="H48" s="101">
        <v>21</v>
      </c>
      <c r="I48" s="101" t="s">
        <v>208</v>
      </c>
      <c r="J48" s="101" t="s">
        <v>54</v>
      </c>
      <c r="K48" s="101" t="b">
        <v>1</v>
      </c>
      <c r="L48" s="97">
        <v>2024</v>
      </c>
      <c r="M48" s="98">
        <v>8.8999999999999999E-3</v>
      </c>
      <c r="N48" s="102">
        <v>41026</v>
      </c>
      <c r="O48" s="102">
        <v>41045</v>
      </c>
    </row>
    <row r="49" spans="1:15">
      <c r="A49" s="99">
        <v>2012</v>
      </c>
      <c r="B49" s="100" t="s">
        <v>192</v>
      </c>
      <c r="C49" s="100" t="s">
        <v>193</v>
      </c>
      <c r="D49" s="101">
        <v>1062000</v>
      </c>
      <c r="E49" s="101">
        <v>0</v>
      </c>
      <c r="F49" s="101"/>
      <c r="G49" s="101">
        <v>31</v>
      </c>
      <c r="H49" s="101" t="s">
        <v>135</v>
      </c>
      <c r="I49" s="101"/>
      <c r="J49" s="101" t="s">
        <v>118</v>
      </c>
      <c r="K49" s="101" t="b">
        <v>1</v>
      </c>
      <c r="L49" s="97">
        <v>2014</v>
      </c>
      <c r="M49" s="98">
        <v>6593545</v>
      </c>
      <c r="N49" s="102">
        <v>41026</v>
      </c>
      <c r="O49" s="102">
        <v>41045</v>
      </c>
    </row>
    <row r="50" spans="1:15">
      <c r="A50" s="99">
        <v>2012</v>
      </c>
      <c r="B50" s="100" t="s">
        <v>192</v>
      </c>
      <c r="C50" s="100" t="s">
        <v>193</v>
      </c>
      <c r="D50" s="101">
        <v>1062000</v>
      </c>
      <c r="E50" s="101">
        <v>0</v>
      </c>
      <c r="F50" s="101"/>
      <c r="G50" s="101">
        <v>53</v>
      </c>
      <c r="H50" s="101">
        <v>26</v>
      </c>
      <c r="I50" s="101" t="s">
        <v>210</v>
      </c>
      <c r="J50" s="101" t="s">
        <v>151</v>
      </c>
      <c r="K50" s="101" t="b">
        <v>1</v>
      </c>
      <c r="L50" s="97">
        <v>2023</v>
      </c>
      <c r="M50" s="98">
        <v>410133391</v>
      </c>
      <c r="N50" s="102">
        <v>41026</v>
      </c>
      <c r="O50" s="102">
        <v>41045</v>
      </c>
    </row>
    <row r="51" spans="1:15">
      <c r="A51" s="99">
        <v>2012</v>
      </c>
      <c r="B51" s="100" t="s">
        <v>192</v>
      </c>
      <c r="C51" s="100" t="s">
        <v>193</v>
      </c>
      <c r="D51" s="101">
        <v>1062000</v>
      </c>
      <c r="E51" s="101">
        <v>0</v>
      </c>
      <c r="F51" s="101"/>
      <c r="G51" s="101">
        <v>2</v>
      </c>
      <c r="H51" s="101" t="s">
        <v>94</v>
      </c>
      <c r="I51" s="101"/>
      <c r="J51" s="101" t="s">
        <v>95</v>
      </c>
      <c r="K51" s="101" t="b">
        <v>1</v>
      </c>
      <c r="L51" s="97">
        <v>2020</v>
      </c>
      <c r="M51" s="98">
        <v>372127156</v>
      </c>
      <c r="N51" s="102">
        <v>41026</v>
      </c>
      <c r="O51" s="102">
        <v>41045</v>
      </c>
    </row>
    <row r="52" spans="1:15">
      <c r="A52" s="99">
        <v>2012</v>
      </c>
      <c r="B52" s="100" t="s">
        <v>192</v>
      </c>
      <c r="C52" s="100" t="s">
        <v>193</v>
      </c>
      <c r="D52" s="101">
        <v>1062000</v>
      </c>
      <c r="E52" s="101">
        <v>0</v>
      </c>
      <c r="F52" s="101"/>
      <c r="G52" s="101">
        <v>49</v>
      </c>
      <c r="H52" s="101" t="s">
        <v>148</v>
      </c>
      <c r="I52" s="101" t="s">
        <v>199</v>
      </c>
      <c r="J52" s="101" t="s">
        <v>79</v>
      </c>
      <c r="K52" s="101" t="b">
        <v>0</v>
      </c>
      <c r="L52" s="97">
        <v>2020</v>
      </c>
      <c r="M52" s="98">
        <v>14</v>
      </c>
      <c r="N52" s="102">
        <v>41026</v>
      </c>
      <c r="O52" s="102">
        <v>41045</v>
      </c>
    </row>
    <row r="53" spans="1:15">
      <c r="A53" s="99">
        <v>2012</v>
      </c>
      <c r="B53" s="100" t="s">
        <v>192</v>
      </c>
      <c r="C53" s="100" t="s">
        <v>193</v>
      </c>
      <c r="D53" s="101">
        <v>1062000</v>
      </c>
      <c r="E53" s="101">
        <v>0</v>
      </c>
      <c r="F53" s="101"/>
      <c r="G53" s="101">
        <v>46</v>
      </c>
      <c r="H53" s="101">
        <v>21</v>
      </c>
      <c r="I53" s="101" t="s">
        <v>208</v>
      </c>
      <c r="J53" s="101" t="s">
        <v>54</v>
      </c>
      <c r="K53" s="101" t="b">
        <v>1</v>
      </c>
      <c r="L53" s="97">
        <v>2025</v>
      </c>
      <c r="M53" s="98">
        <v>8.6E-3</v>
      </c>
      <c r="N53" s="102">
        <v>41026</v>
      </c>
      <c r="O53" s="102">
        <v>41045</v>
      </c>
    </row>
    <row r="54" spans="1:15">
      <c r="A54" s="99">
        <v>2012</v>
      </c>
      <c r="B54" s="100" t="s">
        <v>192</v>
      </c>
      <c r="C54" s="100" t="s">
        <v>193</v>
      </c>
      <c r="D54" s="101">
        <v>1062000</v>
      </c>
      <c r="E54" s="101">
        <v>0</v>
      </c>
      <c r="F54" s="101"/>
      <c r="G54" s="101">
        <v>44</v>
      </c>
      <c r="H54" s="101">
        <v>20</v>
      </c>
      <c r="I54" s="101" t="s">
        <v>207</v>
      </c>
      <c r="J54" s="101" t="s">
        <v>145</v>
      </c>
      <c r="K54" s="101" t="b">
        <v>1</v>
      </c>
      <c r="L54" s="97">
        <v>2029</v>
      </c>
      <c r="M54" s="98">
        <v>6.1400000000000003E-2</v>
      </c>
      <c r="N54" s="102">
        <v>41026</v>
      </c>
      <c r="O54" s="102">
        <v>41045</v>
      </c>
    </row>
    <row r="55" spans="1:15">
      <c r="A55" s="99">
        <v>2012</v>
      </c>
      <c r="B55" s="100" t="s">
        <v>192</v>
      </c>
      <c r="C55" s="100" t="s">
        <v>193</v>
      </c>
      <c r="D55" s="101">
        <v>1062000</v>
      </c>
      <c r="E55" s="101">
        <v>0</v>
      </c>
      <c r="F55" s="101"/>
      <c r="G55" s="101">
        <v>8</v>
      </c>
      <c r="H55" s="101" t="s">
        <v>104</v>
      </c>
      <c r="I55" s="101"/>
      <c r="J55" s="101" t="s">
        <v>105</v>
      </c>
      <c r="K55" s="101" t="b">
        <v>0</v>
      </c>
      <c r="L55" s="97">
        <v>2030</v>
      </c>
      <c r="M55" s="98">
        <v>180410900</v>
      </c>
      <c r="N55" s="102">
        <v>41026</v>
      </c>
      <c r="O55" s="102">
        <v>41045</v>
      </c>
    </row>
    <row r="56" spans="1:15">
      <c r="A56" s="99">
        <v>2012</v>
      </c>
      <c r="B56" s="100" t="s">
        <v>192</v>
      </c>
      <c r="C56" s="100" t="s">
        <v>193</v>
      </c>
      <c r="D56" s="101">
        <v>1062000</v>
      </c>
      <c r="E56" s="101">
        <v>0</v>
      </c>
      <c r="F56" s="101"/>
      <c r="G56" s="101">
        <v>40</v>
      </c>
      <c r="H56" s="101">
        <v>18</v>
      </c>
      <c r="I56" s="101" t="s">
        <v>194</v>
      </c>
      <c r="J56" s="101" t="s">
        <v>69</v>
      </c>
      <c r="K56" s="101" t="b">
        <v>0</v>
      </c>
      <c r="L56" s="97">
        <v>2020</v>
      </c>
      <c r="M56" s="98">
        <v>0.2147</v>
      </c>
      <c r="N56" s="102">
        <v>41026</v>
      </c>
      <c r="O56" s="102">
        <v>41045</v>
      </c>
    </row>
    <row r="57" spans="1:15">
      <c r="A57" s="99">
        <v>2012</v>
      </c>
      <c r="B57" s="100" t="s">
        <v>192</v>
      </c>
      <c r="C57" s="100" t="s">
        <v>193</v>
      </c>
      <c r="D57" s="101">
        <v>1062000</v>
      </c>
      <c r="E57" s="101">
        <v>0</v>
      </c>
      <c r="F57" s="101"/>
      <c r="G57" s="101">
        <v>26</v>
      </c>
      <c r="H57" s="101">
        <v>9</v>
      </c>
      <c r="I57" s="101" t="s">
        <v>204</v>
      </c>
      <c r="J57" s="101" t="s">
        <v>131</v>
      </c>
      <c r="K57" s="101" t="b">
        <v>0</v>
      </c>
      <c r="L57" s="97">
        <v>2024</v>
      </c>
      <c r="M57" s="98">
        <v>22114928</v>
      </c>
      <c r="N57" s="102">
        <v>41026</v>
      </c>
      <c r="O57" s="102">
        <v>41045</v>
      </c>
    </row>
    <row r="58" spans="1:15">
      <c r="A58" s="99">
        <v>2012</v>
      </c>
      <c r="B58" s="100" t="s">
        <v>192</v>
      </c>
      <c r="C58" s="100" t="s">
        <v>193</v>
      </c>
      <c r="D58" s="101">
        <v>1062000</v>
      </c>
      <c r="E58" s="101">
        <v>0</v>
      </c>
      <c r="F58" s="101"/>
      <c r="G58" s="101">
        <v>5</v>
      </c>
      <c r="H58" s="101" t="s">
        <v>100</v>
      </c>
      <c r="I58" s="101"/>
      <c r="J58" s="101" t="s">
        <v>101</v>
      </c>
      <c r="K58" s="101" t="b">
        <v>1</v>
      </c>
      <c r="L58" s="97">
        <v>2019</v>
      </c>
      <c r="M58" s="98">
        <v>7000000</v>
      </c>
      <c r="N58" s="102">
        <v>41026</v>
      </c>
      <c r="O58" s="102">
        <v>41045</v>
      </c>
    </row>
    <row r="59" spans="1:15">
      <c r="A59" s="99">
        <v>2012</v>
      </c>
      <c r="B59" s="100" t="s">
        <v>192</v>
      </c>
      <c r="C59" s="100" t="s">
        <v>193</v>
      </c>
      <c r="D59" s="101">
        <v>1062000</v>
      </c>
      <c r="E59" s="101">
        <v>0</v>
      </c>
      <c r="F59" s="101"/>
      <c r="G59" s="101">
        <v>5</v>
      </c>
      <c r="H59" s="101" t="s">
        <v>100</v>
      </c>
      <c r="I59" s="101"/>
      <c r="J59" s="101" t="s">
        <v>101</v>
      </c>
      <c r="K59" s="101" t="b">
        <v>1</v>
      </c>
      <c r="L59" s="97">
        <v>2020</v>
      </c>
      <c r="M59" s="98">
        <v>6000000</v>
      </c>
      <c r="N59" s="102">
        <v>41026</v>
      </c>
      <c r="O59" s="102">
        <v>41045</v>
      </c>
    </row>
    <row r="60" spans="1:15">
      <c r="A60" s="99">
        <v>2012</v>
      </c>
      <c r="B60" s="100" t="s">
        <v>192</v>
      </c>
      <c r="C60" s="100" t="s">
        <v>193</v>
      </c>
      <c r="D60" s="101">
        <v>1062000</v>
      </c>
      <c r="E60" s="101">
        <v>0</v>
      </c>
      <c r="F60" s="101"/>
      <c r="G60" s="101">
        <v>41</v>
      </c>
      <c r="H60" s="101" t="s">
        <v>143</v>
      </c>
      <c r="I60" s="101" t="s">
        <v>211</v>
      </c>
      <c r="J60" s="101" t="s">
        <v>71</v>
      </c>
      <c r="K60" s="101" t="b">
        <v>0</v>
      </c>
      <c r="L60" s="97">
        <v>2021</v>
      </c>
      <c r="M60" s="98">
        <v>0.15260000000000001</v>
      </c>
      <c r="N60" s="102">
        <v>41026</v>
      </c>
      <c r="O60" s="102">
        <v>41045</v>
      </c>
    </row>
    <row r="61" spans="1:15">
      <c r="A61" s="99">
        <v>2012</v>
      </c>
      <c r="B61" s="100" t="s">
        <v>192</v>
      </c>
      <c r="C61" s="100" t="s">
        <v>193</v>
      </c>
      <c r="D61" s="101">
        <v>1062000</v>
      </c>
      <c r="E61" s="101">
        <v>0</v>
      </c>
      <c r="F61" s="101"/>
      <c r="G61" s="101">
        <v>6</v>
      </c>
      <c r="H61" s="101" t="s">
        <v>102</v>
      </c>
      <c r="I61" s="101"/>
      <c r="J61" s="101" t="s">
        <v>103</v>
      </c>
      <c r="K61" s="101" t="b">
        <v>1</v>
      </c>
      <c r="L61" s="97">
        <v>2014</v>
      </c>
      <c r="M61" s="98">
        <v>323096</v>
      </c>
      <c r="N61" s="102">
        <v>41026</v>
      </c>
      <c r="O61" s="102">
        <v>41045</v>
      </c>
    </row>
    <row r="62" spans="1:15">
      <c r="A62" s="99">
        <v>2012</v>
      </c>
      <c r="B62" s="100" t="s">
        <v>192</v>
      </c>
      <c r="C62" s="100" t="s">
        <v>193</v>
      </c>
      <c r="D62" s="101">
        <v>1062000</v>
      </c>
      <c r="E62" s="101">
        <v>0</v>
      </c>
      <c r="F62" s="101"/>
      <c r="G62" s="101">
        <v>9</v>
      </c>
      <c r="H62" s="101" t="s">
        <v>106</v>
      </c>
      <c r="I62" s="101"/>
      <c r="J62" s="101" t="s">
        <v>107</v>
      </c>
      <c r="K62" s="101" t="b">
        <v>0</v>
      </c>
      <c r="L62" s="97">
        <v>2017</v>
      </c>
      <c r="M62" s="98">
        <v>20772562</v>
      </c>
      <c r="N62" s="102">
        <v>41026</v>
      </c>
      <c r="O62" s="102">
        <v>41045</v>
      </c>
    </row>
    <row r="63" spans="1:15">
      <c r="A63" s="99">
        <v>2012</v>
      </c>
      <c r="B63" s="100" t="s">
        <v>192</v>
      </c>
      <c r="C63" s="100" t="s">
        <v>193</v>
      </c>
      <c r="D63" s="101">
        <v>1062000</v>
      </c>
      <c r="E63" s="101">
        <v>0</v>
      </c>
      <c r="F63" s="101"/>
      <c r="G63" s="101">
        <v>23</v>
      </c>
      <c r="H63" s="101" t="s">
        <v>126</v>
      </c>
      <c r="I63" s="101"/>
      <c r="J63" s="101" t="s">
        <v>127</v>
      </c>
      <c r="K63" s="101" t="b">
        <v>1</v>
      </c>
      <c r="L63" s="97">
        <v>2022</v>
      </c>
      <c r="M63" s="98">
        <v>1879604</v>
      </c>
      <c r="N63" s="102">
        <v>41026</v>
      </c>
      <c r="O63" s="102">
        <v>41045</v>
      </c>
    </row>
    <row r="64" spans="1:15">
      <c r="A64" s="99">
        <v>2012</v>
      </c>
      <c r="B64" s="100" t="s">
        <v>192</v>
      </c>
      <c r="C64" s="100" t="s">
        <v>193</v>
      </c>
      <c r="D64" s="101">
        <v>1062000</v>
      </c>
      <c r="E64" s="101">
        <v>0</v>
      </c>
      <c r="F64" s="101"/>
      <c r="G64" s="101">
        <v>5</v>
      </c>
      <c r="H64" s="101" t="s">
        <v>100</v>
      </c>
      <c r="I64" s="101"/>
      <c r="J64" s="101" t="s">
        <v>101</v>
      </c>
      <c r="K64" s="101" t="b">
        <v>1</v>
      </c>
      <c r="L64" s="97">
        <v>2021</v>
      </c>
      <c r="M64" s="98">
        <v>4000000</v>
      </c>
      <c r="N64" s="102">
        <v>41026</v>
      </c>
      <c r="O64" s="102">
        <v>41045</v>
      </c>
    </row>
    <row r="65" spans="1:15">
      <c r="A65" s="99">
        <v>2012</v>
      </c>
      <c r="B65" s="100" t="s">
        <v>192</v>
      </c>
      <c r="C65" s="100" t="s">
        <v>193</v>
      </c>
      <c r="D65" s="101">
        <v>1062000</v>
      </c>
      <c r="E65" s="101">
        <v>0</v>
      </c>
      <c r="F65" s="101"/>
      <c r="G65" s="101">
        <v>5</v>
      </c>
      <c r="H65" s="101" t="s">
        <v>100</v>
      </c>
      <c r="I65" s="101"/>
      <c r="J65" s="101" t="s">
        <v>101</v>
      </c>
      <c r="K65" s="101" t="b">
        <v>1</v>
      </c>
      <c r="L65" s="97">
        <v>2022</v>
      </c>
      <c r="M65" s="98">
        <v>3000000</v>
      </c>
      <c r="N65" s="102">
        <v>41026</v>
      </c>
      <c r="O65" s="102">
        <v>41045</v>
      </c>
    </row>
    <row r="66" spans="1:15">
      <c r="A66" s="99">
        <v>2012</v>
      </c>
      <c r="B66" s="100" t="s">
        <v>192</v>
      </c>
      <c r="C66" s="100" t="s">
        <v>193</v>
      </c>
      <c r="D66" s="101">
        <v>1062000</v>
      </c>
      <c r="E66" s="101">
        <v>0</v>
      </c>
      <c r="F66" s="101"/>
      <c r="G66" s="101">
        <v>8</v>
      </c>
      <c r="H66" s="101" t="s">
        <v>104</v>
      </c>
      <c r="I66" s="101"/>
      <c r="J66" s="101" t="s">
        <v>105</v>
      </c>
      <c r="K66" s="101" t="b">
        <v>0</v>
      </c>
      <c r="L66" s="97">
        <v>2012</v>
      </c>
      <c r="M66" s="98">
        <v>138223386.08000001</v>
      </c>
      <c r="N66" s="102">
        <v>41026</v>
      </c>
      <c r="O66" s="102">
        <v>41045</v>
      </c>
    </row>
    <row r="67" spans="1:15">
      <c r="A67" s="99">
        <v>2012</v>
      </c>
      <c r="B67" s="100" t="s">
        <v>192</v>
      </c>
      <c r="C67" s="100" t="s">
        <v>193</v>
      </c>
      <c r="D67" s="101">
        <v>1062000</v>
      </c>
      <c r="E67" s="101">
        <v>0</v>
      </c>
      <c r="F67" s="101"/>
      <c r="G67" s="101">
        <v>12</v>
      </c>
      <c r="H67" s="101" t="s">
        <v>112</v>
      </c>
      <c r="I67" s="101"/>
      <c r="J67" s="101" t="s">
        <v>113</v>
      </c>
      <c r="K67" s="101" t="b">
        <v>0</v>
      </c>
      <c r="L67" s="97">
        <v>2026</v>
      </c>
      <c r="M67" s="98">
        <v>28419.4</v>
      </c>
      <c r="N67" s="102">
        <v>41026</v>
      </c>
      <c r="O67" s="102">
        <v>41045</v>
      </c>
    </row>
    <row r="68" spans="1:15">
      <c r="A68" s="99">
        <v>2012</v>
      </c>
      <c r="B68" s="100" t="s">
        <v>192</v>
      </c>
      <c r="C68" s="100" t="s">
        <v>193</v>
      </c>
      <c r="D68" s="101">
        <v>1062000</v>
      </c>
      <c r="E68" s="101">
        <v>0</v>
      </c>
      <c r="F68" s="101"/>
      <c r="G68" s="101">
        <v>1</v>
      </c>
      <c r="H68" s="101">
        <v>1</v>
      </c>
      <c r="I68" s="101" t="s">
        <v>212</v>
      </c>
      <c r="J68" s="101" t="s">
        <v>93</v>
      </c>
      <c r="K68" s="101" t="b">
        <v>1</v>
      </c>
      <c r="L68" s="97">
        <v>2014</v>
      </c>
      <c r="M68" s="98">
        <v>324543423</v>
      </c>
      <c r="N68" s="102">
        <v>41026</v>
      </c>
      <c r="O68" s="102">
        <v>41045</v>
      </c>
    </row>
    <row r="69" spans="1:15">
      <c r="A69" s="99">
        <v>2012</v>
      </c>
      <c r="B69" s="100" t="s">
        <v>192</v>
      </c>
      <c r="C69" s="100" t="s">
        <v>193</v>
      </c>
      <c r="D69" s="101">
        <v>1062000</v>
      </c>
      <c r="E69" s="101">
        <v>0</v>
      </c>
      <c r="F69" s="101"/>
      <c r="G69" s="101">
        <v>42</v>
      </c>
      <c r="H69" s="101">
        <v>19</v>
      </c>
      <c r="I69" s="101" t="s">
        <v>200</v>
      </c>
      <c r="J69" s="101" t="s">
        <v>72</v>
      </c>
      <c r="K69" s="101" t="b">
        <v>1</v>
      </c>
      <c r="L69" s="97">
        <v>2026</v>
      </c>
      <c r="M69" s="98">
        <v>8.3000000000000001E-3</v>
      </c>
      <c r="N69" s="102">
        <v>41026</v>
      </c>
      <c r="O69" s="102">
        <v>41045</v>
      </c>
    </row>
    <row r="70" spans="1:15">
      <c r="A70" s="99">
        <v>2012</v>
      </c>
      <c r="B70" s="100" t="s">
        <v>192</v>
      </c>
      <c r="C70" s="100" t="s">
        <v>193</v>
      </c>
      <c r="D70" s="101">
        <v>1062000</v>
      </c>
      <c r="E70" s="101">
        <v>0</v>
      </c>
      <c r="F70" s="101"/>
      <c r="G70" s="101">
        <v>54</v>
      </c>
      <c r="H70" s="101">
        <v>27</v>
      </c>
      <c r="I70" s="101" t="s">
        <v>213</v>
      </c>
      <c r="J70" s="101" t="s">
        <v>46</v>
      </c>
      <c r="K70" s="101" t="b">
        <v>0</v>
      </c>
      <c r="L70" s="97">
        <v>2015</v>
      </c>
      <c r="M70" s="98">
        <v>319333500</v>
      </c>
      <c r="N70" s="102">
        <v>41026</v>
      </c>
      <c r="O70" s="102">
        <v>41045</v>
      </c>
    </row>
    <row r="71" spans="1:15">
      <c r="A71" s="99">
        <v>2012</v>
      </c>
      <c r="B71" s="100" t="s">
        <v>192</v>
      </c>
      <c r="C71" s="100" t="s">
        <v>193</v>
      </c>
      <c r="D71" s="101">
        <v>1062000</v>
      </c>
      <c r="E71" s="101">
        <v>0</v>
      </c>
      <c r="F71" s="101"/>
      <c r="G71" s="101">
        <v>27</v>
      </c>
      <c r="H71" s="101">
        <v>10</v>
      </c>
      <c r="I71" s="101"/>
      <c r="J71" s="101" t="s">
        <v>18</v>
      </c>
      <c r="K71" s="101" t="b">
        <v>0</v>
      </c>
      <c r="L71" s="97">
        <v>2028</v>
      </c>
      <c r="M71" s="98">
        <v>25368951</v>
      </c>
      <c r="N71" s="102">
        <v>41026</v>
      </c>
      <c r="O71" s="102">
        <v>41045</v>
      </c>
    </row>
    <row r="72" spans="1:15">
      <c r="A72" s="99">
        <v>2012</v>
      </c>
      <c r="B72" s="100" t="s">
        <v>192</v>
      </c>
      <c r="C72" s="100" t="s">
        <v>193</v>
      </c>
      <c r="D72" s="101">
        <v>1062000</v>
      </c>
      <c r="E72" s="101">
        <v>0</v>
      </c>
      <c r="F72" s="101"/>
      <c r="G72" s="101">
        <v>47</v>
      </c>
      <c r="H72" s="101" t="s">
        <v>147</v>
      </c>
      <c r="I72" s="101" t="s">
        <v>206</v>
      </c>
      <c r="J72" s="101" t="s">
        <v>76</v>
      </c>
      <c r="K72" s="101" t="b">
        <v>0</v>
      </c>
      <c r="L72" s="97">
        <v>2022</v>
      </c>
      <c r="M72" s="98">
        <v>25</v>
      </c>
      <c r="N72" s="102">
        <v>41026</v>
      </c>
      <c r="O72" s="102">
        <v>41045</v>
      </c>
    </row>
    <row r="73" spans="1:15">
      <c r="A73" s="99">
        <v>2012</v>
      </c>
      <c r="B73" s="100" t="s">
        <v>192</v>
      </c>
      <c r="C73" s="100" t="s">
        <v>193</v>
      </c>
      <c r="D73" s="101">
        <v>1062000</v>
      </c>
      <c r="E73" s="101">
        <v>0</v>
      </c>
      <c r="F73" s="101"/>
      <c r="G73" s="101">
        <v>57</v>
      </c>
      <c r="H73" s="101">
        <v>30</v>
      </c>
      <c r="I73" s="101" t="s">
        <v>209</v>
      </c>
      <c r="J73" s="101" t="s">
        <v>153</v>
      </c>
      <c r="K73" s="101" t="b">
        <v>0</v>
      </c>
      <c r="L73" s="97">
        <v>2025</v>
      </c>
      <c r="M73" s="98">
        <v>3625279</v>
      </c>
      <c r="N73" s="102">
        <v>41026</v>
      </c>
      <c r="O73" s="102">
        <v>41045</v>
      </c>
    </row>
    <row r="74" spans="1:15">
      <c r="A74" s="99">
        <v>2012</v>
      </c>
      <c r="B74" s="100" t="s">
        <v>192</v>
      </c>
      <c r="C74" s="100" t="s">
        <v>193</v>
      </c>
      <c r="D74" s="101">
        <v>1062000</v>
      </c>
      <c r="E74" s="101">
        <v>0</v>
      </c>
      <c r="F74" s="101"/>
      <c r="G74" s="101">
        <v>26</v>
      </c>
      <c r="H74" s="101">
        <v>9</v>
      </c>
      <c r="I74" s="101" t="s">
        <v>204</v>
      </c>
      <c r="J74" s="101" t="s">
        <v>131</v>
      </c>
      <c r="K74" s="101" t="b">
        <v>0</v>
      </c>
      <c r="L74" s="97">
        <v>2029</v>
      </c>
      <c r="M74" s="98">
        <v>26224864.629999999</v>
      </c>
      <c r="N74" s="102">
        <v>41026</v>
      </c>
      <c r="O74" s="102">
        <v>41045</v>
      </c>
    </row>
    <row r="75" spans="1:15">
      <c r="A75" s="99">
        <v>2012</v>
      </c>
      <c r="B75" s="100" t="s">
        <v>192</v>
      </c>
      <c r="C75" s="100" t="s">
        <v>193</v>
      </c>
      <c r="D75" s="101">
        <v>1062000</v>
      </c>
      <c r="E75" s="101">
        <v>0</v>
      </c>
      <c r="F75" s="101"/>
      <c r="G75" s="101">
        <v>19</v>
      </c>
      <c r="H75" s="101">
        <v>6</v>
      </c>
      <c r="I75" s="101" t="s">
        <v>198</v>
      </c>
      <c r="J75" s="101" t="s">
        <v>121</v>
      </c>
      <c r="K75" s="101" t="b">
        <v>0</v>
      </c>
      <c r="L75" s="97">
        <v>2014</v>
      </c>
      <c r="M75" s="98">
        <v>31754798</v>
      </c>
      <c r="N75" s="102">
        <v>41026</v>
      </c>
      <c r="O75" s="102">
        <v>41045</v>
      </c>
    </row>
    <row r="76" spans="1:15">
      <c r="A76" s="99">
        <v>2012</v>
      </c>
      <c r="B76" s="100" t="s">
        <v>192</v>
      </c>
      <c r="C76" s="100" t="s">
        <v>193</v>
      </c>
      <c r="D76" s="101">
        <v>1062000</v>
      </c>
      <c r="E76" s="101">
        <v>0</v>
      </c>
      <c r="F76" s="101"/>
      <c r="G76" s="101">
        <v>12</v>
      </c>
      <c r="H76" s="101" t="s">
        <v>112</v>
      </c>
      <c r="I76" s="101"/>
      <c r="J76" s="101" t="s">
        <v>113</v>
      </c>
      <c r="K76" s="101" t="b">
        <v>0</v>
      </c>
      <c r="L76" s="97">
        <v>2019</v>
      </c>
      <c r="M76" s="98">
        <v>29444.400000000001</v>
      </c>
      <c r="N76" s="102">
        <v>41026</v>
      </c>
      <c r="O76" s="102">
        <v>41045</v>
      </c>
    </row>
    <row r="77" spans="1:15">
      <c r="A77" s="99">
        <v>2012</v>
      </c>
      <c r="B77" s="100" t="s">
        <v>192</v>
      </c>
      <c r="C77" s="100" t="s">
        <v>193</v>
      </c>
      <c r="D77" s="101">
        <v>1062000</v>
      </c>
      <c r="E77" s="101">
        <v>0</v>
      </c>
      <c r="F77" s="101"/>
      <c r="G77" s="101">
        <v>45</v>
      </c>
      <c r="H77" s="101" t="s">
        <v>146</v>
      </c>
      <c r="I77" s="101" t="s">
        <v>203</v>
      </c>
      <c r="J77" s="101" t="s">
        <v>53</v>
      </c>
      <c r="K77" s="101" t="b">
        <v>0</v>
      </c>
      <c r="L77" s="97">
        <v>2020</v>
      </c>
      <c r="M77" s="98">
        <v>6.6500000000000004E-2</v>
      </c>
      <c r="N77" s="102">
        <v>41026</v>
      </c>
      <c r="O77" s="102">
        <v>41045</v>
      </c>
    </row>
    <row r="78" spans="1:15">
      <c r="A78" s="99">
        <v>2012</v>
      </c>
      <c r="B78" s="100" t="s">
        <v>192</v>
      </c>
      <c r="C78" s="100" t="s">
        <v>193</v>
      </c>
      <c r="D78" s="101">
        <v>1062000</v>
      </c>
      <c r="E78" s="101">
        <v>0</v>
      </c>
      <c r="F78" s="101"/>
      <c r="G78" s="101">
        <v>52</v>
      </c>
      <c r="H78" s="101">
        <v>25</v>
      </c>
      <c r="I78" s="101" t="s">
        <v>214</v>
      </c>
      <c r="J78" s="101" t="s">
        <v>49</v>
      </c>
      <c r="K78" s="101" t="b">
        <v>1</v>
      </c>
      <c r="L78" s="97">
        <v>2030</v>
      </c>
      <c r="M78" s="98">
        <v>30267989</v>
      </c>
      <c r="N78" s="102">
        <v>41026</v>
      </c>
      <c r="O78" s="102">
        <v>41045</v>
      </c>
    </row>
    <row r="79" spans="1:15">
      <c r="A79" s="99">
        <v>2012</v>
      </c>
      <c r="B79" s="100" t="s">
        <v>192</v>
      </c>
      <c r="C79" s="100" t="s">
        <v>193</v>
      </c>
      <c r="D79" s="101">
        <v>1062000</v>
      </c>
      <c r="E79" s="101">
        <v>0</v>
      </c>
      <c r="F79" s="101"/>
      <c r="G79" s="101">
        <v>22</v>
      </c>
      <c r="H79" s="101" t="s">
        <v>124</v>
      </c>
      <c r="I79" s="101"/>
      <c r="J79" s="101" t="s">
        <v>125</v>
      </c>
      <c r="K79" s="101" t="b">
        <v>1</v>
      </c>
      <c r="L79" s="97">
        <v>2012</v>
      </c>
      <c r="M79" s="98">
        <v>173448.19</v>
      </c>
      <c r="N79" s="102">
        <v>41026</v>
      </c>
      <c r="O79" s="102">
        <v>41045</v>
      </c>
    </row>
    <row r="80" spans="1:15">
      <c r="A80" s="99">
        <v>2012</v>
      </c>
      <c r="B80" s="100" t="s">
        <v>192</v>
      </c>
      <c r="C80" s="100" t="s">
        <v>193</v>
      </c>
      <c r="D80" s="101">
        <v>1062000</v>
      </c>
      <c r="E80" s="101">
        <v>0</v>
      </c>
      <c r="F80" s="101"/>
      <c r="G80" s="101">
        <v>5</v>
      </c>
      <c r="H80" s="101" t="s">
        <v>100</v>
      </c>
      <c r="I80" s="101"/>
      <c r="J80" s="101" t="s">
        <v>101</v>
      </c>
      <c r="K80" s="101" t="b">
        <v>1</v>
      </c>
      <c r="L80" s="97">
        <v>2018</v>
      </c>
      <c r="M80" s="98">
        <v>10000000</v>
      </c>
      <c r="N80" s="102">
        <v>41026</v>
      </c>
      <c r="O80" s="102">
        <v>41045</v>
      </c>
    </row>
    <row r="81" spans="1:15">
      <c r="A81" s="99">
        <v>2012</v>
      </c>
      <c r="B81" s="100" t="s">
        <v>192</v>
      </c>
      <c r="C81" s="100" t="s">
        <v>193</v>
      </c>
      <c r="D81" s="101">
        <v>1062000</v>
      </c>
      <c r="E81" s="101">
        <v>0</v>
      </c>
      <c r="F81" s="101"/>
      <c r="G81" s="101">
        <v>24</v>
      </c>
      <c r="H81" s="101" t="s">
        <v>128</v>
      </c>
      <c r="I81" s="101"/>
      <c r="J81" s="101" t="s">
        <v>129</v>
      </c>
      <c r="K81" s="101" t="b">
        <v>1</v>
      </c>
      <c r="L81" s="97">
        <v>2020</v>
      </c>
      <c r="M81" s="98">
        <v>3928960</v>
      </c>
      <c r="N81" s="102">
        <v>41026</v>
      </c>
      <c r="O81" s="102">
        <v>41045</v>
      </c>
    </row>
    <row r="82" spans="1:15">
      <c r="A82" s="99">
        <v>2012</v>
      </c>
      <c r="B82" s="100" t="s">
        <v>192</v>
      </c>
      <c r="C82" s="100" t="s">
        <v>193</v>
      </c>
      <c r="D82" s="101">
        <v>1062000</v>
      </c>
      <c r="E82" s="101">
        <v>0</v>
      </c>
      <c r="F82" s="101"/>
      <c r="G82" s="101">
        <v>37</v>
      </c>
      <c r="H82" s="101">
        <v>16</v>
      </c>
      <c r="I82" s="101"/>
      <c r="J82" s="101" t="s">
        <v>140</v>
      </c>
      <c r="K82" s="101" t="b">
        <v>1</v>
      </c>
      <c r="L82" s="97">
        <v>2016</v>
      </c>
      <c r="M82" s="98">
        <v>17467560</v>
      </c>
      <c r="N82" s="102">
        <v>41026</v>
      </c>
      <c r="O82" s="102">
        <v>41045</v>
      </c>
    </row>
    <row r="83" spans="1:15">
      <c r="A83" s="99">
        <v>2012</v>
      </c>
      <c r="B83" s="100" t="s">
        <v>192</v>
      </c>
      <c r="C83" s="100" t="s">
        <v>193</v>
      </c>
      <c r="D83" s="101">
        <v>1062000</v>
      </c>
      <c r="E83" s="101">
        <v>0</v>
      </c>
      <c r="F83" s="101"/>
      <c r="G83" s="101">
        <v>50</v>
      </c>
      <c r="H83" s="101">
        <v>23</v>
      </c>
      <c r="I83" s="101" t="s">
        <v>197</v>
      </c>
      <c r="J83" s="101" t="s">
        <v>149</v>
      </c>
      <c r="K83" s="101" t="b">
        <v>1</v>
      </c>
      <c r="L83" s="97">
        <v>2013</v>
      </c>
      <c r="M83" s="98">
        <v>324141487.97000003</v>
      </c>
      <c r="N83" s="102">
        <v>41026</v>
      </c>
      <c r="O83" s="102">
        <v>41045</v>
      </c>
    </row>
    <row r="84" spans="1:15">
      <c r="A84" s="99">
        <v>2012</v>
      </c>
      <c r="B84" s="100" t="s">
        <v>192</v>
      </c>
      <c r="C84" s="100" t="s">
        <v>193</v>
      </c>
      <c r="D84" s="101">
        <v>1062000</v>
      </c>
      <c r="E84" s="101">
        <v>0</v>
      </c>
      <c r="F84" s="101"/>
      <c r="G84" s="101">
        <v>33</v>
      </c>
      <c r="H84" s="101">
        <v>13</v>
      </c>
      <c r="I84" s="101"/>
      <c r="J84" s="101" t="s">
        <v>66</v>
      </c>
      <c r="K84" s="101" t="b">
        <v>1</v>
      </c>
      <c r="L84" s="97">
        <v>2025</v>
      </c>
      <c r="M84" s="98">
        <v>14501116.369999999</v>
      </c>
      <c r="N84" s="102">
        <v>41026</v>
      </c>
      <c r="O84" s="102">
        <v>41045</v>
      </c>
    </row>
    <row r="85" spans="1:15">
      <c r="A85" s="99">
        <v>2012</v>
      </c>
      <c r="B85" s="100" t="s">
        <v>192</v>
      </c>
      <c r="C85" s="100" t="s">
        <v>193</v>
      </c>
      <c r="D85" s="101">
        <v>1062000</v>
      </c>
      <c r="E85" s="101">
        <v>0</v>
      </c>
      <c r="F85" s="101"/>
      <c r="G85" s="101">
        <v>43</v>
      </c>
      <c r="H85" s="101" t="s">
        <v>144</v>
      </c>
      <c r="I85" s="101" t="s">
        <v>201</v>
      </c>
      <c r="J85" s="101" t="s">
        <v>74</v>
      </c>
      <c r="K85" s="101" t="b">
        <v>0</v>
      </c>
      <c r="L85" s="97">
        <v>2015</v>
      </c>
      <c r="M85" s="98">
        <v>8.4500000000000006E-2</v>
      </c>
      <c r="N85" s="102">
        <v>41026</v>
      </c>
      <c r="O85" s="102">
        <v>41045</v>
      </c>
    </row>
    <row r="86" spans="1:15">
      <c r="A86" s="99">
        <v>2012</v>
      </c>
      <c r="B86" s="100" t="s">
        <v>192</v>
      </c>
      <c r="C86" s="100" t="s">
        <v>193</v>
      </c>
      <c r="D86" s="101">
        <v>1062000</v>
      </c>
      <c r="E86" s="101">
        <v>0</v>
      </c>
      <c r="F86" s="101"/>
      <c r="G86" s="101">
        <v>54</v>
      </c>
      <c r="H86" s="101">
        <v>27</v>
      </c>
      <c r="I86" s="101" t="s">
        <v>213</v>
      </c>
      <c r="J86" s="101" t="s">
        <v>46</v>
      </c>
      <c r="K86" s="101" t="b">
        <v>0</v>
      </c>
      <c r="L86" s="97">
        <v>2014</v>
      </c>
      <c r="M86" s="98">
        <v>331136968</v>
      </c>
      <c r="N86" s="102">
        <v>41026</v>
      </c>
      <c r="O86" s="102">
        <v>41045</v>
      </c>
    </row>
    <row r="87" spans="1:15">
      <c r="A87" s="99">
        <v>2012</v>
      </c>
      <c r="B87" s="100" t="s">
        <v>192</v>
      </c>
      <c r="C87" s="100" t="s">
        <v>193</v>
      </c>
      <c r="D87" s="101">
        <v>1062000</v>
      </c>
      <c r="E87" s="101">
        <v>0</v>
      </c>
      <c r="F87" s="101"/>
      <c r="G87" s="101">
        <v>28</v>
      </c>
      <c r="H87" s="101" t="s">
        <v>132</v>
      </c>
      <c r="I87" s="101"/>
      <c r="J87" s="101" t="s">
        <v>133</v>
      </c>
      <c r="K87" s="101" t="b">
        <v>0</v>
      </c>
      <c r="L87" s="97">
        <v>2014</v>
      </c>
      <c r="M87" s="98">
        <v>15074409.1</v>
      </c>
      <c r="N87" s="102">
        <v>41026</v>
      </c>
      <c r="O87" s="102">
        <v>41045</v>
      </c>
    </row>
    <row r="88" spans="1:15">
      <c r="A88" s="99">
        <v>2012</v>
      </c>
      <c r="B88" s="100" t="s">
        <v>192</v>
      </c>
      <c r="C88" s="100" t="s">
        <v>193</v>
      </c>
      <c r="D88" s="101">
        <v>1062000</v>
      </c>
      <c r="E88" s="101">
        <v>0</v>
      </c>
      <c r="F88" s="101"/>
      <c r="G88" s="101">
        <v>12</v>
      </c>
      <c r="H88" s="101" t="s">
        <v>112</v>
      </c>
      <c r="I88" s="101"/>
      <c r="J88" s="101" t="s">
        <v>113</v>
      </c>
      <c r="K88" s="101" t="b">
        <v>0</v>
      </c>
      <c r="L88" s="97">
        <v>2025</v>
      </c>
      <c r="M88" s="98">
        <v>28419.4</v>
      </c>
      <c r="N88" s="102">
        <v>41026</v>
      </c>
      <c r="O88" s="102">
        <v>41045</v>
      </c>
    </row>
    <row r="89" spans="1:15">
      <c r="A89" s="99">
        <v>2012</v>
      </c>
      <c r="B89" s="100" t="s">
        <v>192</v>
      </c>
      <c r="C89" s="100" t="s">
        <v>193</v>
      </c>
      <c r="D89" s="101">
        <v>1062000</v>
      </c>
      <c r="E89" s="101">
        <v>0</v>
      </c>
      <c r="F89" s="101"/>
      <c r="G89" s="101">
        <v>33</v>
      </c>
      <c r="H89" s="101">
        <v>13</v>
      </c>
      <c r="I89" s="101"/>
      <c r="J89" s="101" t="s">
        <v>66</v>
      </c>
      <c r="K89" s="101" t="b">
        <v>1</v>
      </c>
      <c r="L89" s="97">
        <v>2024</v>
      </c>
      <c r="M89" s="98">
        <v>18126395.370000001</v>
      </c>
      <c r="N89" s="102">
        <v>41026</v>
      </c>
      <c r="O89" s="102">
        <v>41045</v>
      </c>
    </row>
    <row r="90" spans="1:15">
      <c r="A90" s="99">
        <v>2012</v>
      </c>
      <c r="B90" s="100" t="s">
        <v>192</v>
      </c>
      <c r="C90" s="100" t="s">
        <v>193</v>
      </c>
      <c r="D90" s="101">
        <v>1062000</v>
      </c>
      <c r="E90" s="101">
        <v>0</v>
      </c>
      <c r="F90" s="101"/>
      <c r="G90" s="101">
        <v>20</v>
      </c>
      <c r="H90" s="101">
        <v>7</v>
      </c>
      <c r="I90" s="101" t="s">
        <v>215</v>
      </c>
      <c r="J90" s="101" t="s">
        <v>12</v>
      </c>
      <c r="K90" s="101" t="b">
        <v>1</v>
      </c>
      <c r="L90" s="97">
        <v>2025</v>
      </c>
      <c r="M90" s="98">
        <v>3715911</v>
      </c>
      <c r="N90" s="102">
        <v>41026</v>
      </c>
      <c r="O90" s="102">
        <v>41045</v>
      </c>
    </row>
    <row r="91" spans="1:15">
      <c r="A91" s="99">
        <v>2012</v>
      </c>
      <c r="B91" s="100" t="s">
        <v>192</v>
      </c>
      <c r="C91" s="100" t="s">
        <v>193</v>
      </c>
      <c r="D91" s="101">
        <v>1062000</v>
      </c>
      <c r="E91" s="101">
        <v>0</v>
      </c>
      <c r="F91" s="101"/>
      <c r="G91" s="101">
        <v>48</v>
      </c>
      <c r="H91" s="101">
        <v>22</v>
      </c>
      <c r="I91" s="101" t="s">
        <v>196</v>
      </c>
      <c r="J91" s="101" t="s">
        <v>77</v>
      </c>
      <c r="K91" s="101" t="b">
        <v>0</v>
      </c>
      <c r="L91" s="97">
        <v>2020</v>
      </c>
      <c r="M91" s="98">
        <v>6.5100000000000005E-2</v>
      </c>
      <c r="N91" s="102">
        <v>41026</v>
      </c>
      <c r="O91" s="102">
        <v>41045</v>
      </c>
    </row>
    <row r="92" spans="1:15">
      <c r="A92" s="99">
        <v>2012</v>
      </c>
      <c r="B92" s="100" t="s">
        <v>192</v>
      </c>
      <c r="C92" s="100" t="s">
        <v>193</v>
      </c>
      <c r="D92" s="101">
        <v>1062000</v>
      </c>
      <c r="E92" s="101">
        <v>0</v>
      </c>
      <c r="F92" s="101"/>
      <c r="G92" s="101">
        <v>24</v>
      </c>
      <c r="H92" s="101" t="s">
        <v>128</v>
      </c>
      <c r="I92" s="101"/>
      <c r="J92" s="101" t="s">
        <v>129</v>
      </c>
      <c r="K92" s="101" t="b">
        <v>1</v>
      </c>
      <c r="L92" s="97">
        <v>2023</v>
      </c>
      <c r="M92" s="98">
        <v>795612</v>
      </c>
      <c r="N92" s="102">
        <v>41026</v>
      </c>
      <c r="O92" s="102">
        <v>41045</v>
      </c>
    </row>
    <row r="93" spans="1:15">
      <c r="A93" s="99">
        <v>2012</v>
      </c>
      <c r="B93" s="100" t="s">
        <v>192</v>
      </c>
      <c r="C93" s="100" t="s">
        <v>193</v>
      </c>
      <c r="D93" s="101">
        <v>1062000</v>
      </c>
      <c r="E93" s="101">
        <v>0</v>
      </c>
      <c r="F93" s="101"/>
      <c r="G93" s="101">
        <v>51</v>
      </c>
      <c r="H93" s="101">
        <v>24</v>
      </c>
      <c r="I93" s="101" t="s">
        <v>202</v>
      </c>
      <c r="J93" s="101" t="s">
        <v>150</v>
      </c>
      <c r="K93" s="101" t="b">
        <v>1</v>
      </c>
      <c r="L93" s="97">
        <v>2014</v>
      </c>
      <c r="M93" s="98">
        <v>300922645</v>
      </c>
      <c r="N93" s="102">
        <v>41026</v>
      </c>
      <c r="O93" s="102">
        <v>41045</v>
      </c>
    </row>
    <row r="94" spans="1:15">
      <c r="A94" s="99">
        <v>2012</v>
      </c>
      <c r="B94" s="100" t="s">
        <v>192</v>
      </c>
      <c r="C94" s="100" t="s">
        <v>193</v>
      </c>
      <c r="D94" s="101">
        <v>1062000</v>
      </c>
      <c r="E94" s="101">
        <v>0</v>
      </c>
      <c r="F94" s="101"/>
      <c r="G94" s="101">
        <v>5</v>
      </c>
      <c r="H94" s="101" t="s">
        <v>100</v>
      </c>
      <c r="I94" s="101"/>
      <c r="J94" s="101" t="s">
        <v>101</v>
      </c>
      <c r="K94" s="101" t="b">
        <v>1</v>
      </c>
      <c r="L94" s="97">
        <v>2026</v>
      </c>
      <c r="M94" s="98">
        <v>500000</v>
      </c>
      <c r="N94" s="102">
        <v>41026</v>
      </c>
      <c r="O94" s="102">
        <v>41045</v>
      </c>
    </row>
    <row r="95" spans="1:15">
      <c r="A95" s="99">
        <v>2012</v>
      </c>
      <c r="B95" s="100" t="s">
        <v>192</v>
      </c>
      <c r="C95" s="100" t="s">
        <v>193</v>
      </c>
      <c r="D95" s="101">
        <v>1062000</v>
      </c>
      <c r="E95" s="101">
        <v>0</v>
      </c>
      <c r="F95" s="101"/>
      <c r="G95" s="101">
        <v>2</v>
      </c>
      <c r="H95" s="101" t="s">
        <v>94</v>
      </c>
      <c r="I95" s="101"/>
      <c r="J95" s="101" t="s">
        <v>95</v>
      </c>
      <c r="K95" s="101" t="b">
        <v>1</v>
      </c>
      <c r="L95" s="97">
        <v>2017</v>
      </c>
      <c r="M95" s="98">
        <v>340549063</v>
      </c>
      <c r="N95" s="102">
        <v>41026</v>
      </c>
      <c r="O95" s="102">
        <v>41045</v>
      </c>
    </row>
    <row r="96" spans="1:15">
      <c r="A96" s="99">
        <v>2012</v>
      </c>
      <c r="B96" s="100" t="s">
        <v>192</v>
      </c>
      <c r="C96" s="100" t="s">
        <v>193</v>
      </c>
      <c r="D96" s="101">
        <v>1062000</v>
      </c>
      <c r="E96" s="101">
        <v>0</v>
      </c>
      <c r="F96" s="101"/>
      <c r="G96" s="101">
        <v>24</v>
      </c>
      <c r="H96" s="101" t="s">
        <v>128</v>
      </c>
      <c r="I96" s="101"/>
      <c r="J96" s="101" t="s">
        <v>129</v>
      </c>
      <c r="K96" s="101" t="b">
        <v>1</v>
      </c>
      <c r="L96" s="97">
        <v>2021</v>
      </c>
      <c r="M96" s="98">
        <v>2979443</v>
      </c>
      <c r="N96" s="102">
        <v>41026</v>
      </c>
      <c r="O96" s="102">
        <v>41045</v>
      </c>
    </row>
    <row r="97" spans="1:15">
      <c r="A97" s="99">
        <v>2012</v>
      </c>
      <c r="B97" s="100" t="s">
        <v>192</v>
      </c>
      <c r="C97" s="100" t="s">
        <v>193</v>
      </c>
      <c r="D97" s="101">
        <v>1062000</v>
      </c>
      <c r="E97" s="101">
        <v>0</v>
      </c>
      <c r="F97" s="101"/>
      <c r="G97" s="101">
        <v>12</v>
      </c>
      <c r="H97" s="101" t="s">
        <v>112</v>
      </c>
      <c r="I97" s="101"/>
      <c r="J97" s="101" t="s">
        <v>113</v>
      </c>
      <c r="K97" s="101" t="b">
        <v>0</v>
      </c>
      <c r="L97" s="97">
        <v>2017</v>
      </c>
      <c r="M97" s="98">
        <v>29865.4</v>
      </c>
      <c r="N97" s="102">
        <v>41026</v>
      </c>
      <c r="O97" s="102">
        <v>41045</v>
      </c>
    </row>
    <row r="98" spans="1:15">
      <c r="A98" s="99">
        <v>2012</v>
      </c>
      <c r="B98" s="100" t="s">
        <v>192</v>
      </c>
      <c r="C98" s="100" t="s">
        <v>193</v>
      </c>
      <c r="D98" s="101">
        <v>1062000</v>
      </c>
      <c r="E98" s="101">
        <v>0</v>
      </c>
      <c r="F98" s="101"/>
      <c r="G98" s="101">
        <v>45</v>
      </c>
      <c r="H98" s="101" t="s">
        <v>146</v>
      </c>
      <c r="I98" s="101" t="s">
        <v>203</v>
      </c>
      <c r="J98" s="101" t="s">
        <v>53</v>
      </c>
      <c r="K98" s="101" t="b">
        <v>0</v>
      </c>
      <c r="L98" s="97">
        <v>2016</v>
      </c>
      <c r="M98" s="98">
        <v>7.6399999999999996E-2</v>
      </c>
      <c r="N98" s="102">
        <v>41026</v>
      </c>
      <c r="O98" s="102">
        <v>41045</v>
      </c>
    </row>
    <row r="99" spans="1:15">
      <c r="A99" s="99">
        <v>2012</v>
      </c>
      <c r="B99" s="100" t="s">
        <v>192</v>
      </c>
      <c r="C99" s="100" t="s">
        <v>193</v>
      </c>
      <c r="D99" s="101">
        <v>1062000</v>
      </c>
      <c r="E99" s="101">
        <v>0</v>
      </c>
      <c r="F99" s="101"/>
      <c r="G99" s="101">
        <v>12</v>
      </c>
      <c r="H99" s="101" t="s">
        <v>112</v>
      </c>
      <c r="I99" s="101"/>
      <c r="J99" s="101" t="s">
        <v>113</v>
      </c>
      <c r="K99" s="101" t="b">
        <v>0</v>
      </c>
      <c r="L99" s="97">
        <v>2023</v>
      </c>
      <c r="M99" s="98">
        <v>28419.4</v>
      </c>
      <c r="N99" s="102">
        <v>41026</v>
      </c>
      <c r="O99" s="102">
        <v>41045</v>
      </c>
    </row>
    <row r="100" spans="1:15">
      <c r="A100" s="99">
        <v>2012</v>
      </c>
      <c r="B100" s="100" t="s">
        <v>192</v>
      </c>
      <c r="C100" s="100" t="s">
        <v>193</v>
      </c>
      <c r="D100" s="101">
        <v>1062000</v>
      </c>
      <c r="E100" s="101">
        <v>0</v>
      </c>
      <c r="F100" s="101"/>
      <c r="G100" s="101">
        <v>9</v>
      </c>
      <c r="H100" s="101" t="s">
        <v>106</v>
      </c>
      <c r="I100" s="101"/>
      <c r="J100" s="101" t="s">
        <v>107</v>
      </c>
      <c r="K100" s="101" t="b">
        <v>0</v>
      </c>
      <c r="L100" s="97">
        <v>2021</v>
      </c>
      <c r="M100" s="98">
        <v>21994172</v>
      </c>
      <c r="N100" s="102">
        <v>41026</v>
      </c>
      <c r="O100" s="102">
        <v>41045</v>
      </c>
    </row>
    <row r="101" spans="1:15">
      <c r="A101" s="99">
        <v>2012</v>
      </c>
      <c r="B101" s="100" t="s">
        <v>192</v>
      </c>
      <c r="C101" s="100" t="s">
        <v>193</v>
      </c>
      <c r="D101" s="101">
        <v>1062000</v>
      </c>
      <c r="E101" s="101">
        <v>0</v>
      </c>
      <c r="F101" s="101"/>
      <c r="G101" s="101">
        <v>54</v>
      </c>
      <c r="H101" s="101">
        <v>27</v>
      </c>
      <c r="I101" s="101" t="s">
        <v>213</v>
      </c>
      <c r="J101" s="101" t="s">
        <v>46</v>
      </c>
      <c r="K101" s="101" t="b">
        <v>0</v>
      </c>
      <c r="L101" s="97">
        <v>2021</v>
      </c>
      <c r="M101" s="98">
        <v>365207954</v>
      </c>
      <c r="N101" s="102">
        <v>41026</v>
      </c>
      <c r="O101" s="102">
        <v>41045</v>
      </c>
    </row>
    <row r="102" spans="1:15">
      <c r="A102" s="99">
        <v>2012</v>
      </c>
      <c r="B102" s="100" t="s">
        <v>192</v>
      </c>
      <c r="C102" s="100" t="s">
        <v>193</v>
      </c>
      <c r="D102" s="101">
        <v>1062000</v>
      </c>
      <c r="E102" s="101">
        <v>0</v>
      </c>
      <c r="F102" s="101"/>
      <c r="G102" s="101">
        <v>20</v>
      </c>
      <c r="H102" s="101">
        <v>7</v>
      </c>
      <c r="I102" s="101" t="s">
        <v>215</v>
      </c>
      <c r="J102" s="101" t="s">
        <v>12</v>
      </c>
      <c r="K102" s="101" t="b">
        <v>1</v>
      </c>
      <c r="L102" s="97">
        <v>2014</v>
      </c>
      <c r="M102" s="98">
        <v>25034020</v>
      </c>
      <c r="N102" s="102">
        <v>41026</v>
      </c>
      <c r="O102" s="102">
        <v>41045</v>
      </c>
    </row>
    <row r="103" spans="1:15">
      <c r="A103" s="99">
        <v>2012</v>
      </c>
      <c r="B103" s="100" t="s">
        <v>192</v>
      </c>
      <c r="C103" s="100" t="s">
        <v>193</v>
      </c>
      <c r="D103" s="101">
        <v>1062000</v>
      </c>
      <c r="E103" s="101">
        <v>0</v>
      </c>
      <c r="F103" s="101"/>
      <c r="G103" s="101">
        <v>41</v>
      </c>
      <c r="H103" s="101" t="s">
        <v>143</v>
      </c>
      <c r="I103" s="101" t="s">
        <v>211</v>
      </c>
      <c r="J103" s="101" t="s">
        <v>71</v>
      </c>
      <c r="K103" s="101" t="b">
        <v>0</v>
      </c>
      <c r="L103" s="97">
        <v>2012</v>
      </c>
      <c r="M103" s="98">
        <v>0.2641</v>
      </c>
      <c r="N103" s="102">
        <v>41026</v>
      </c>
      <c r="O103" s="102">
        <v>41045</v>
      </c>
    </row>
    <row r="104" spans="1:15">
      <c r="A104" s="99">
        <v>2012</v>
      </c>
      <c r="B104" s="100" t="s">
        <v>192</v>
      </c>
      <c r="C104" s="100" t="s">
        <v>193</v>
      </c>
      <c r="D104" s="101">
        <v>1062000</v>
      </c>
      <c r="E104" s="101">
        <v>0</v>
      </c>
      <c r="F104" s="101"/>
      <c r="G104" s="101">
        <v>47</v>
      </c>
      <c r="H104" s="101" t="s">
        <v>147</v>
      </c>
      <c r="I104" s="101" t="s">
        <v>206</v>
      </c>
      <c r="J104" s="101" t="s">
        <v>76</v>
      </c>
      <c r="K104" s="101" t="b">
        <v>0</v>
      </c>
      <c r="L104" s="97">
        <v>2021</v>
      </c>
      <c r="M104" s="98">
        <v>24</v>
      </c>
      <c r="N104" s="102">
        <v>41026</v>
      </c>
      <c r="O104" s="102">
        <v>41045</v>
      </c>
    </row>
    <row r="105" spans="1:15">
      <c r="A105" s="99">
        <v>2012</v>
      </c>
      <c r="B105" s="100" t="s">
        <v>192</v>
      </c>
      <c r="C105" s="100" t="s">
        <v>193</v>
      </c>
      <c r="D105" s="101">
        <v>1062000</v>
      </c>
      <c r="E105" s="101">
        <v>0</v>
      </c>
      <c r="F105" s="101"/>
      <c r="G105" s="101">
        <v>48</v>
      </c>
      <c r="H105" s="101">
        <v>22</v>
      </c>
      <c r="I105" s="101" t="s">
        <v>196</v>
      </c>
      <c r="J105" s="101" t="s">
        <v>77</v>
      </c>
      <c r="K105" s="101" t="b">
        <v>0</v>
      </c>
      <c r="L105" s="97">
        <v>2027</v>
      </c>
      <c r="M105" s="98">
        <v>8.0000000000000002E-3</v>
      </c>
      <c r="N105" s="102">
        <v>41026</v>
      </c>
      <c r="O105" s="102">
        <v>41045</v>
      </c>
    </row>
    <row r="106" spans="1:15">
      <c r="A106" s="99">
        <v>2012</v>
      </c>
      <c r="B106" s="100" t="s">
        <v>192</v>
      </c>
      <c r="C106" s="100" t="s">
        <v>193</v>
      </c>
      <c r="D106" s="101">
        <v>1062000</v>
      </c>
      <c r="E106" s="101">
        <v>0</v>
      </c>
      <c r="F106" s="101"/>
      <c r="G106" s="101">
        <v>27</v>
      </c>
      <c r="H106" s="101">
        <v>10</v>
      </c>
      <c r="I106" s="101"/>
      <c r="J106" s="101" t="s">
        <v>18</v>
      </c>
      <c r="K106" s="101" t="b">
        <v>0</v>
      </c>
      <c r="L106" s="97">
        <v>2013</v>
      </c>
      <c r="M106" s="98">
        <v>132545726.54000001</v>
      </c>
      <c r="N106" s="102">
        <v>41026</v>
      </c>
      <c r="O106" s="102">
        <v>41045</v>
      </c>
    </row>
    <row r="107" spans="1:15">
      <c r="A107" s="99">
        <v>2012</v>
      </c>
      <c r="B107" s="100" t="s">
        <v>192</v>
      </c>
      <c r="C107" s="100" t="s">
        <v>193</v>
      </c>
      <c r="D107" s="101">
        <v>1062000</v>
      </c>
      <c r="E107" s="101">
        <v>0</v>
      </c>
      <c r="F107" s="101"/>
      <c r="G107" s="101">
        <v>24</v>
      </c>
      <c r="H107" s="101" t="s">
        <v>128</v>
      </c>
      <c r="I107" s="101"/>
      <c r="J107" s="101" t="s">
        <v>129</v>
      </c>
      <c r="K107" s="101" t="b">
        <v>1</v>
      </c>
      <c r="L107" s="97">
        <v>2022</v>
      </c>
      <c r="M107" s="98">
        <v>1879604</v>
      </c>
      <c r="N107" s="102">
        <v>41026</v>
      </c>
      <c r="O107" s="102">
        <v>41045</v>
      </c>
    </row>
    <row r="108" spans="1:15">
      <c r="A108" s="99">
        <v>2012</v>
      </c>
      <c r="B108" s="100" t="s">
        <v>192</v>
      </c>
      <c r="C108" s="100" t="s">
        <v>193</v>
      </c>
      <c r="D108" s="101">
        <v>1062000</v>
      </c>
      <c r="E108" s="101">
        <v>0</v>
      </c>
      <c r="F108" s="101"/>
      <c r="G108" s="101">
        <v>2</v>
      </c>
      <c r="H108" s="101" t="s">
        <v>94</v>
      </c>
      <c r="I108" s="101"/>
      <c r="J108" s="101" t="s">
        <v>95</v>
      </c>
      <c r="K108" s="101" t="b">
        <v>1</v>
      </c>
      <c r="L108" s="97">
        <v>2030</v>
      </c>
      <c r="M108" s="98">
        <v>500107780</v>
      </c>
      <c r="N108" s="102">
        <v>41026</v>
      </c>
      <c r="O108" s="102">
        <v>41045</v>
      </c>
    </row>
    <row r="109" spans="1:15">
      <c r="A109" s="99">
        <v>2012</v>
      </c>
      <c r="B109" s="100" t="s">
        <v>192</v>
      </c>
      <c r="C109" s="100" t="s">
        <v>193</v>
      </c>
      <c r="D109" s="101">
        <v>1062000</v>
      </c>
      <c r="E109" s="101">
        <v>0</v>
      </c>
      <c r="F109" s="101"/>
      <c r="G109" s="101">
        <v>47</v>
      </c>
      <c r="H109" s="101" t="s">
        <v>147</v>
      </c>
      <c r="I109" s="101" t="s">
        <v>206</v>
      </c>
      <c r="J109" s="101" t="s">
        <v>76</v>
      </c>
      <c r="K109" s="101" t="b">
        <v>0</v>
      </c>
      <c r="L109" s="97">
        <v>2018</v>
      </c>
      <c r="M109" s="98">
        <v>38</v>
      </c>
      <c r="N109" s="102">
        <v>41026</v>
      </c>
      <c r="O109" s="102">
        <v>41045</v>
      </c>
    </row>
    <row r="110" spans="1:15">
      <c r="A110" s="99">
        <v>2012</v>
      </c>
      <c r="B110" s="100" t="s">
        <v>192</v>
      </c>
      <c r="C110" s="100" t="s">
        <v>193</v>
      </c>
      <c r="D110" s="101">
        <v>1062000</v>
      </c>
      <c r="E110" s="101">
        <v>0</v>
      </c>
      <c r="F110" s="101"/>
      <c r="G110" s="101">
        <v>40</v>
      </c>
      <c r="H110" s="101">
        <v>18</v>
      </c>
      <c r="I110" s="101" t="s">
        <v>194</v>
      </c>
      <c r="J110" s="101" t="s">
        <v>69</v>
      </c>
      <c r="K110" s="101" t="b">
        <v>0</v>
      </c>
      <c r="L110" s="97">
        <v>2025</v>
      </c>
      <c r="M110" s="98">
        <v>3.3599999999999998E-2</v>
      </c>
      <c r="N110" s="102">
        <v>41026</v>
      </c>
      <c r="O110" s="102">
        <v>41045</v>
      </c>
    </row>
    <row r="111" spans="1:15">
      <c r="A111" s="99">
        <v>2012</v>
      </c>
      <c r="B111" s="100" t="s">
        <v>192</v>
      </c>
      <c r="C111" s="100" t="s">
        <v>193</v>
      </c>
      <c r="D111" s="101">
        <v>1062000</v>
      </c>
      <c r="E111" s="101">
        <v>0</v>
      </c>
      <c r="F111" s="101"/>
      <c r="G111" s="101">
        <v>19</v>
      </c>
      <c r="H111" s="101">
        <v>6</v>
      </c>
      <c r="I111" s="101" t="s">
        <v>198</v>
      </c>
      <c r="J111" s="101" t="s">
        <v>121</v>
      </c>
      <c r="K111" s="101" t="b">
        <v>0</v>
      </c>
      <c r="L111" s="97">
        <v>2023</v>
      </c>
      <c r="M111" s="98">
        <v>28110645</v>
      </c>
      <c r="N111" s="102">
        <v>41026</v>
      </c>
      <c r="O111" s="102">
        <v>41045</v>
      </c>
    </row>
    <row r="112" spans="1:15">
      <c r="A112" s="99">
        <v>2012</v>
      </c>
      <c r="B112" s="100" t="s">
        <v>192</v>
      </c>
      <c r="C112" s="100" t="s">
        <v>193</v>
      </c>
      <c r="D112" s="101">
        <v>1062000</v>
      </c>
      <c r="E112" s="101">
        <v>0</v>
      </c>
      <c r="F112" s="101"/>
      <c r="G112" s="101">
        <v>28</v>
      </c>
      <c r="H112" s="101" t="s">
        <v>132</v>
      </c>
      <c r="I112" s="101"/>
      <c r="J112" s="101" t="s">
        <v>133</v>
      </c>
      <c r="K112" s="101" t="b">
        <v>0</v>
      </c>
      <c r="L112" s="97">
        <v>2012</v>
      </c>
      <c r="M112" s="98">
        <v>155291910.46000001</v>
      </c>
      <c r="N112" s="102">
        <v>41026</v>
      </c>
      <c r="O112" s="102">
        <v>41045</v>
      </c>
    </row>
    <row r="113" spans="1:15">
      <c r="A113" s="99">
        <v>2012</v>
      </c>
      <c r="B113" s="100" t="s">
        <v>192</v>
      </c>
      <c r="C113" s="100" t="s">
        <v>193</v>
      </c>
      <c r="D113" s="101">
        <v>1062000</v>
      </c>
      <c r="E113" s="101">
        <v>0</v>
      </c>
      <c r="F113" s="101"/>
      <c r="G113" s="101">
        <v>8</v>
      </c>
      <c r="H113" s="101" t="s">
        <v>104</v>
      </c>
      <c r="I113" s="101"/>
      <c r="J113" s="101" t="s">
        <v>105</v>
      </c>
      <c r="K113" s="101" t="b">
        <v>0</v>
      </c>
      <c r="L113" s="97">
        <v>2026</v>
      </c>
      <c r="M113" s="98">
        <v>169980305</v>
      </c>
      <c r="N113" s="102">
        <v>41026</v>
      </c>
      <c r="O113" s="102">
        <v>41045</v>
      </c>
    </row>
    <row r="114" spans="1:15">
      <c r="A114" s="99">
        <v>2012</v>
      </c>
      <c r="B114" s="100" t="s">
        <v>192</v>
      </c>
      <c r="C114" s="100" t="s">
        <v>193</v>
      </c>
      <c r="D114" s="101">
        <v>1062000</v>
      </c>
      <c r="E114" s="101">
        <v>0</v>
      </c>
      <c r="F114" s="101"/>
      <c r="G114" s="101">
        <v>41</v>
      </c>
      <c r="H114" s="101" t="s">
        <v>143</v>
      </c>
      <c r="I114" s="101" t="s">
        <v>211</v>
      </c>
      <c r="J114" s="101" t="s">
        <v>71</v>
      </c>
      <c r="K114" s="101" t="b">
        <v>0</v>
      </c>
      <c r="L114" s="97">
        <v>2018</v>
      </c>
      <c r="M114" s="98">
        <v>0.3362</v>
      </c>
      <c r="N114" s="102">
        <v>41026</v>
      </c>
      <c r="O114" s="102">
        <v>41045</v>
      </c>
    </row>
    <row r="115" spans="1:15">
      <c r="A115" s="99">
        <v>2012</v>
      </c>
      <c r="B115" s="100" t="s">
        <v>192</v>
      </c>
      <c r="C115" s="100" t="s">
        <v>193</v>
      </c>
      <c r="D115" s="101">
        <v>1062000</v>
      </c>
      <c r="E115" s="101">
        <v>0</v>
      </c>
      <c r="F115" s="101"/>
      <c r="G115" s="101">
        <v>26</v>
      </c>
      <c r="H115" s="101">
        <v>9</v>
      </c>
      <c r="I115" s="101" t="s">
        <v>204</v>
      </c>
      <c r="J115" s="101" t="s">
        <v>131</v>
      </c>
      <c r="K115" s="101" t="b">
        <v>0</v>
      </c>
      <c r="L115" s="97">
        <v>2025</v>
      </c>
      <c r="M115" s="98">
        <v>22893523</v>
      </c>
      <c r="N115" s="102">
        <v>41026</v>
      </c>
      <c r="O115" s="102">
        <v>41045</v>
      </c>
    </row>
    <row r="116" spans="1:15">
      <c r="A116" s="99">
        <v>2012</v>
      </c>
      <c r="B116" s="100" t="s">
        <v>192</v>
      </c>
      <c r="C116" s="100" t="s">
        <v>193</v>
      </c>
      <c r="D116" s="101">
        <v>1062000</v>
      </c>
      <c r="E116" s="101">
        <v>0</v>
      </c>
      <c r="F116" s="101"/>
      <c r="G116" s="101">
        <v>47</v>
      </c>
      <c r="H116" s="101" t="s">
        <v>147</v>
      </c>
      <c r="I116" s="101" t="s">
        <v>206</v>
      </c>
      <c r="J116" s="101" t="s">
        <v>76</v>
      </c>
      <c r="K116" s="101" t="b">
        <v>0</v>
      </c>
      <c r="L116" s="97">
        <v>2025</v>
      </c>
      <c r="M116" s="98">
        <v>550</v>
      </c>
      <c r="N116" s="102">
        <v>41026</v>
      </c>
      <c r="O116" s="102">
        <v>41045</v>
      </c>
    </row>
    <row r="117" spans="1:15">
      <c r="A117" s="99">
        <v>2012</v>
      </c>
      <c r="B117" s="100" t="s">
        <v>192</v>
      </c>
      <c r="C117" s="100" t="s">
        <v>193</v>
      </c>
      <c r="D117" s="101">
        <v>1062000</v>
      </c>
      <c r="E117" s="101">
        <v>0</v>
      </c>
      <c r="F117" s="101"/>
      <c r="G117" s="101">
        <v>23</v>
      </c>
      <c r="H117" s="101" t="s">
        <v>126</v>
      </c>
      <c r="I117" s="101"/>
      <c r="J117" s="101" t="s">
        <v>127</v>
      </c>
      <c r="K117" s="101" t="b">
        <v>1</v>
      </c>
      <c r="L117" s="97">
        <v>2016</v>
      </c>
      <c r="M117" s="98">
        <v>7074756</v>
      </c>
      <c r="N117" s="102">
        <v>41026</v>
      </c>
      <c r="O117" s="102">
        <v>41045</v>
      </c>
    </row>
    <row r="118" spans="1:15">
      <c r="A118" s="99">
        <v>2012</v>
      </c>
      <c r="B118" s="100" t="s">
        <v>192</v>
      </c>
      <c r="C118" s="100" t="s">
        <v>193</v>
      </c>
      <c r="D118" s="101">
        <v>1062000</v>
      </c>
      <c r="E118" s="101">
        <v>0</v>
      </c>
      <c r="F118" s="101"/>
      <c r="G118" s="101">
        <v>26</v>
      </c>
      <c r="H118" s="101">
        <v>9</v>
      </c>
      <c r="I118" s="101" t="s">
        <v>204</v>
      </c>
      <c r="J118" s="101" t="s">
        <v>131</v>
      </c>
      <c r="K118" s="101" t="b">
        <v>0</v>
      </c>
      <c r="L118" s="97">
        <v>2022</v>
      </c>
      <c r="M118" s="98">
        <v>2364990</v>
      </c>
      <c r="N118" s="102">
        <v>41026</v>
      </c>
      <c r="O118" s="102">
        <v>41045</v>
      </c>
    </row>
    <row r="119" spans="1:15">
      <c r="A119" s="99">
        <v>2012</v>
      </c>
      <c r="B119" s="100" t="s">
        <v>192</v>
      </c>
      <c r="C119" s="100" t="s">
        <v>193</v>
      </c>
      <c r="D119" s="101">
        <v>1062000</v>
      </c>
      <c r="E119" s="101">
        <v>0</v>
      </c>
      <c r="F119" s="101"/>
      <c r="G119" s="101">
        <v>44</v>
      </c>
      <c r="H119" s="101">
        <v>20</v>
      </c>
      <c r="I119" s="101" t="s">
        <v>207</v>
      </c>
      <c r="J119" s="101" t="s">
        <v>145</v>
      </c>
      <c r="K119" s="101" t="b">
        <v>1</v>
      </c>
      <c r="L119" s="97">
        <v>2014</v>
      </c>
      <c r="M119" s="98">
        <v>7.1800000000000003E-2</v>
      </c>
      <c r="N119" s="102">
        <v>41026</v>
      </c>
      <c r="O119" s="102">
        <v>41045</v>
      </c>
    </row>
    <row r="120" spans="1:15">
      <c r="A120" s="99">
        <v>2012</v>
      </c>
      <c r="B120" s="100" t="s">
        <v>192</v>
      </c>
      <c r="C120" s="100" t="s">
        <v>193</v>
      </c>
      <c r="D120" s="101">
        <v>1062000</v>
      </c>
      <c r="E120" s="101">
        <v>0</v>
      </c>
      <c r="F120" s="101"/>
      <c r="G120" s="101">
        <v>49</v>
      </c>
      <c r="H120" s="101" t="s">
        <v>148</v>
      </c>
      <c r="I120" s="101" t="s">
        <v>199</v>
      </c>
      <c r="J120" s="101" t="s">
        <v>79</v>
      </c>
      <c r="K120" s="101" t="b">
        <v>0</v>
      </c>
      <c r="L120" s="97">
        <v>2021</v>
      </c>
      <c r="M120" s="98">
        <v>24</v>
      </c>
      <c r="N120" s="102">
        <v>41026</v>
      </c>
      <c r="O120" s="102">
        <v>41045</v>
      </c>
    </row>
    <row r="121" spans="1:15">
      <c r="A121" s="99">
        <v>2012</v>
      </c>
      <c r="B121" s="100" t="s">
        <v>192</v>
      </c>
      <c r="C121" s="100" t="s">
        <v>193</v>
      </c>
      <c r="D121" s="101">
        <v>1062000</v>
      </c>
      <c r="E121" s="101">
        <v>0</v>
      </c>
      <c r="F121" s="101"/>
      <c r="G121" s="101">
        <v>1</v>
      </c>
      <c r="H121" s="101">
        <v>1</v>
      </c>
      <c r="I121" s="101" t="s">
        <v>212</v>
      </c>
      <c r="J121" s="101" t="s">
        <v>93</v>
      </c>
      <c r="K121" s="101" t="b">
        <v>1</v>
      </c>
      <c r="L121" s="97">
        <v>2019</v>
      </c>
      <c r="M121" s="98">
        <v>368288501</v>
      </c>
      <c r="N121" s="102">
        <v>41026</v>
      </c>
      <c r="O121" s="102">
        <v>41045</v>
      </c>
    </row>
    <row r="122" spans="1:15">
      <c r="A122" s="99">
        <v>2012</v>
      </c>
      <c r="B122" s="100" t="s">
        <v>192</v>
      </c>
      <c r="C122" s="100" t="s">
        <v>193</v>
      </c>
      <c r="D122" s="101">
        <v>1062000</v>
      </c>
      <c r="E122" s="101">
        <v>0</v>
      </c>
      <c r="F122" s="101"/>
      <c r="G122" s="101">
        <v>49</v>
      </c>
      <c r="H122" s="101" t="s">
        <v>148</v>
      </c>
      <c r="I122" s="101" t="s">
        <v>199</v>
      </c>
      <c r="J122" s="101" t="s">
        <v>79</v>
      </c>
      <c r="K122" s="101" t="b">
        <v>0</v>
      </c>
      <c r="L122" s="97">
        <v>2029</v>
      </c>
      <c r="M122" s="98">
        <v>539</v>
      </c>
      <c r="N122" s="102">
        <v>41026</v>
      </c>
      <c r="O122" s="102">
        <v>41045</v>
      </c>
    </row>
    <row r="123" spans="1:15">
      <c r="A123" s="99">
        <v>2012</v>
      </c>
      <c r="B123" s="100" t="s">
        <v>192</v>
      </c>
      <c r="C123" s="100" t="s">
        <v>193</v>
      </c>
      <c r="D123" s="101">
        <v>1062000</v>
      </c>
      <c r="E123" s="101">
        <v>0</v>
      </c>
      <c r="F123" s="101"/>
      <c r="G123" s="101">
        <v>43</v>
      </c>
      <c r="H123" s="101" t="s">
        <v>144</v>
      </c>
      <c r="I123" s="101" t="s">
        <v>201</v>
      </c>
      <c r="J123" s="101" t="s">
        <v>74</v>
      </c>
      <c r="K123" s="101" t="b">
        <v>0</v>
      </c>
      <c r="L123" s="97">
        <v>2028</v>
      </c>
      <c r="M123" s="98">
        <v>7.7999999999999996E-3</v>
      </c>
      <c r="N123" s="102">
        <v>41026</v>
      </c>
      <c r="O123" s="102">
        <v>41045</v>
      </c>
    </row>
    <row r="124" spans="1:15">
      <c r="A124" s="99">
        <v>2012</v>
      </c>
      <c r="B124" s="100" t="s">
        <v>192</v>
      </c>
      <c r="C124" s="100" t="s">
        <v>193</v>
      </c>
      <c r="D124" s="101">
        <v>1062000</v>
      </c>
      <c r="E124" s="101">
        <v>0</v>
      </c>
      <c r="F124" s="101"/>
      <c r="G124" s="101">
        <v>28</v>
      </c>
      <c r="H124" s="101" t="s">
        <v>132</v>
      </c>
      <c r="I124" s="101"/>
      <c r="J124" s="101" t="s">
        <v>133</v>
      </c>
      <c r="K124" s="101" t="b">
        <v>0</v>
      </c>
      <c r="L124" s="97">
        <v>2013</v>
      </c>
      <c r="M124" s="98">
        <v>110305212.97</v>
      </c>
      <c r="N124" s="102">
        <v>41026</v>
      </c>
      <c r="O124" s="102">
        <v>41045</v>
      </c>
    </row>
    <row r="125" spans="1:15">
      <c r="A125" s="99">
        <v>2012</v>
      </c>
      <c r="B125" s="100" t="s">
        <v>192</v>
      </c>
      <c r="C125" s="100" t="s">
        <v>193</v>
      </c>
      <c r="D125" s="101">
        <v>1062000</v>
      </c>
      <c r="E125" s="101">
        <v>0</v>
      </c>
      <c r="F125" s="101"/>
      <c r="G125" s="101">
        <v>37</v>
      </c>
      <c r="H125" s="101">
        <v>16</v>
      </c>
      <c r="I125" s="101"/>
      <c r="J125" s="101" t="s">
        <v>140</v>
      </c>
      <c r="K125" s="101" t="b">
        <v>1</v>
      </c>
      <c r="L125" s="97">
        <v>2027</v>
      </c>
      <c r="M125" s="98">
        <v>3625279</v>
      </c>
      <c r="N125" s="102">
        <v>41026</v>
      </c>
      <c r="O125" s="102">
        <v>41045</v>
      </c>
    </row>
    <row r="126" spans="1:15">
      <c r="A126" s="99">
        <v>2012</v>
      </c>
      <c r="B126" s="100" t="s">
        <v>192</v>
      </c>
      <c r="C126" s="100" t="s">
        <v>193</v>
      </c>
      <c r="D126" s="101">
        <v>1062000</v>
      </c>
      <c r="E126" s="101">
        <v>0</v>
      </c>
      <c r="F126" s="101"/>
      <c r="G126" s="101">
        <v>4</v>
      </c>
      <c r="H126" s="101" t="s">
        <v>98</v>
      </c>
      <c r="I126" s="101"/>
      <c r="J126" s="101" t="s">
        <v>99</v>
      </c>
      <c r="K126" s="101" t="b">
        <v>1</v>
      </c>
      <c r="L126" s="97">
        <v>2017</v>
      </c>
      <c r="M126" s="98">
        <v>10000000</v>
      </c>
      <c r="N126" s="102">
        <v>41026</v>
      </c>
      <c r="O126" s="102">
        <v>41045</v>
      </c>
    </row>
    <row r="127" spans="1:15">
      <c r="A127" s="99">
        <v>2012</v>
      </c>
      <c r="B127" s="100" t="s">
        <v>192</v>
      </c>
      <c r="C127" s="100" t="s">
        <v>193</v>
      </c>
      <c r="D127" s="101">
        <v>1062000</v>
      </c>
      <c r="E127" s="101">
        <v>0</v>
      </c>
      <c r="F127" s="101"/>
      <c r="G127" s="101">
        <v>41</v>
      </c>
      <c r="H127" s="101" t="s">
        <v>143</v>
      </c>
      <c r="I127" s="101" t="s">
        <v>211</v>
      </c>
      <c r="J127" s="101" t="s">
        <v>71</v>
      </c>
      <c r="K127" s="101" t="b">
        <v>0</v>
      </c>
      <c r="L127" s="97">
        <v>2014</v>
      </c>
      <c r="M127" s="98">
        <v>0.3347</v>
      </c>
      <c r="N127" s="102">
        <v>41026</v>
      </c>
      <c r="O127" s="102">
        <v>41045</v>
      </c>
    </row>
    <row r="128" spans="1:15">
      <c r="A128" s="99">
        <v>2012</v>
      </c>
      <c r="B128" s="100" t="s">
        <v>192</v>
      </c>
      <c r="C128" s="100" t="s">
        <v>193</v>
      </c>
      <c r="D128" s="101">
        <v>1062000</v>
      </c>
      <c r="E128" s="101">
        <v>0</v>
      </c>
      <c r="F128" s="101"/>
      <c r="G128" s="101">
        <v>47</v>
      </c>
      <c r="H128" s="101" t="s">
        <v>147</v>
      </c>
      <c r="I128" s="101" t="s">
        <v>206</v>
      </c>
      <c r="J128" s="101" t="s">
        <v>76</v>
      </c>
      <c r="K128" s="101" t="b">
        <v>0</v>
      </c>
      <c r="L128" s="97">
        <v>2027</v>
      </c>
      <c r="M128" s="98">
        <v>534</v>
      </c>
      <c r="N128" s="102">
        <v>41026</v>
      </c>
      <c r="O128" s="102">
        <v>41045</v>
      </c>
    </row>
    <row r="129" spans="1:15">
      <c r="A129" s="99">
        <v>2012</v>
      </c>
      <c r="B129" s="100" t="s">
        <v>192</v>
      </c>
      <c r="C129" s="100" t="s">
        <v>193</v>
      </c>
      <c r="D129" s="101">
        <v>1062000</v>
      </c>
      <c r="E129" s="101">
        <v>0</v>
      </c>
      <c r="F129" s="101"/>
      <c r="G129" s="101">
        <v>24</v>
      </c>
      <c r="H129" s="101" t="s">
        <v>128</v>
      </c>
      <c r="I129" s="101"/>
      <c r="J129" s="101" t="s">
        <v>129</v>
      </c>
      <c r="K129" s="101" t="b">
        <v>1</v>
      </c>
      <c r="L129" s="97">
        <v>2014</v>
      </c>
      <c r="M129" s="98">
        <v>8134020</v>
      </c>
      <c r="N129" s="102">
        <v>41026</v>
      </c>
      <c r="O129" s="102">
        <v>41045</v>
      </c>
    </row>
    <row r="130" spans="1:15">
      <c r="A130" s="99">
        <v>2012</v>
      </c>
      <c r="B130" s="100" t="s">
        <v>192</v>
      </c>
      <c r="C130" s="100" t="s">
        <v>193</v>
      </c>
      <c r="D130" s="101">
        <v>1062000</v>
      </c>
      <c r="E130" s="101">
        <v>0</v>
      </c>
      <c r="F130" s="101"/>
      <c r="G130" s="101">
        <v>47</v>
      </c>
      <c r="H130" s="101" t="s">
        <v>147</v>
      </c>
      <c r="I130" s="101" t="s">
        <v>206</v>
      </c>
      <c r="J130" s="101" t="s">
        <v>76</v>
      </c>
      <c r="K130" s="101" t="b">
        <v>0</v>
      </c>
      <c r="L130" s="97">
        <v>2015</v>
      </c>
      <c r="M130" s="98">
        <v>10</v>
      </c>
      <c r="N130" s="102">
        <v>41026</v>
      </c>
      <c r="O130" s="102">
        <v>41045</v>
      </c>
    </row>
    <row r="131" spans="1:15">
      <c r="A131" s="99">
        <v>2012</v>
      </c>
      <c r="B131" s="100" t="s">
        <v>192</v>
      </c>
      <c r="C131" s="100" t="s">
        <v>193</v>
      </c>
      <c r="D131" s="101">
        <v>1062000</v>
      </c>
      <c r="E131" s="101">
        <v>0</v>
      </c>
      <c r="F131" s="101"/>
      <c r="G131" s="101">
        <v>9</v>
      </c>
      <c r="H131" s="101" t="s">
        <v>106</v>
      </c>
      <c r="I131" s="101"/>
      <c r="J131" s="101" t="s">
        <v>107</v>
      </c>
      <c r="K131" s="101" t="b">
        <v>0</v>
      </c>
      <c r="L131" s="97">
        <v>2026</v>
      </c>
      <c r="M131" s="98">
        <v>23693970</v>
      </c>
      <c r="N131" s="102">
        <v>41026</v>
      </c>
      <c r="O131" s="102">
        <v>41045</v>
      </c>
    </row>
    <row r="132" spans="1:15">
      <c r="A132" s="99">
        <v>2012</v>
      </c>
      <c r="B132" s="100" t="s">
        <v>192</v>
      </c>
      <c r="C132" s="100" t="s">
        <v>193</v>
      </c>
      <c r="D132" s="101">
        <v>1062000</v>
      </c>
      <c r="E132" s="101">
        <v>0</v>
      </c>
      <c r="F132" s="101"/>
      <c r="G132" s="101">
        <v>27</v>
      </c>
      <c r="H132" s="101">
        <v>10</v>
      </c>
      <c r="I132" s="101"/>
      <c r="J132" s="101" t="s">
        <v>18</v>
      </c>
      <c r="K132" s="101" t="b">
        <v>0</v>
      </c>
      <c r="L132" s="97">
        <v>2017</v>
      </c>
      <c r="M132" s="98">
        <v>6596820</v>
      </c>
      <c r="N132" s="102">
        <v>41026</v>
      </c>
      <c r="O132" s="102">
        <v>41045</v>
      </c>
    </row>
    <row r="133" spans="1:15">
      <c r="A133" s="99">
        <v>2012</v>
      </c>
      <c r="B133" s="100" t="s">
        <v>192</v>
      </c>
      <c r="C133" s="100" t="s">
        <v>193</v>
      </c>
      <c r="D133" s="101">
        <v>1062000</v>
      </c>
      <c r="E133" s="101">
        <v>0</v>
      </c>
      <c r="F133" s="101"/>
      <c r="G133" s="101">
        <v>48</v>
      </c>
      <c r="H133" s="101">
        <v>22</v>
      </c>
      <c r="I133" s="101" t="s">
        <v>196</v>
      </c>
      <c r="J133" s="101" t="s">
        <v>77</v>
      </c>
      <c r="K133" s="101" t="b">
        <v>0</v>
      </c>
      <c r="L133" s="97">
        <v>2026</v>
      </c>
      <c r="M133" s="98">
        <v>8.3000000000000001E-3</v>
      </c>
      <c r="N133" s="102">
        <v>41026</v>
      </c>
      <c r="O133" s="102">
        <v>41045</v>
      </c>
    </row>
    <row r="134" spans="1:15">
      <c r="A134" s="99">
        <v>2012</v>
      </c>
      <c r="B134" s="100" t="s">
        <v>192</v>
      </c>
      <c r="C134" s="100" t="s">
        <v>193</v>
      </c>
      <c r="D134" s="101">
        <v>1062000</v>
      </c>
      <c r="E134" s="101">
        <v>0</v>
      </c>
      <c r="F134" s="101"/>
      <c r="G134" s="101">
        <v>19</v>
      </c>
      <c r="H134" s="101">
        <v>6</v>
      </c>
      <c r="I134" s="101" t="s">
        <v>198</v>
      </c>
      <c r="J134" s="101" t="s">
        <v>121</v>
      </c>
      <c r="K134" s="101" t="b">
        <v>0</v>
      </c>
      <c r="L134" s="97">
        <v>2024</v>
      </c>
      <c r="M134" s="98">
        <v>25848965</v>
      </c>
      <c r="N134" s="102">
        <v>41026</v>
      </c>
      <c r="O134" s="102">
        <v>41045</v>
      </c>
    </row>
    <row r="135" spans="1:15">
      <c r="A135" s="99">
        <v>2012</v>
      </c>
      <c r="B135" s="100" t="s">
        <v>192</v>
      </c>
      <c r="C135" s="100" t="s">
        <v>193</v>
      </c>
      <c r="D135" s="101">
        <v>1062000</v>
      </c>
      <c r="E135" s="101">
        <v>0</v>
      </c>
      <c r="F135" s="101"/>
      <c r="G135" s="101">
        <v>45</v>
      </c>
      <c r="H135" s="101" t="s">
        <v>146</v>
      </c>
      <c r="I135" s="101" t="s">
        <v>203</v>
      </c>
      <c r="J135" s="101" t="s">
        <v>53</v>
      </c>
      <c r="K135" s="101" t="b">
        <v>0</v>
      </c>
      <c r="L135" s="97">
        <v>2027</v>
      </c>
      <c r="M135" s="98">
        <v>6.1400000000000003E-2</v>
      </c>
      <c r="N135" s="102">
        <v>41026</v>
      </c>
      <c r="O135" s="102">
        <v>41045</v>
      </c>
    </row>
    <row r="136" spans="1:15">
      <c r="A136" s="99">
        <v>2012</v>
      </c>
      <c r="B136" s="100" t="s">
        <v>192</v>
      </c>
      <c r="C136" s="100" t="s">
        <v>193</v>
      </c>
      <c r="D136" s="101">
        <v>1062000</v>
      </c>
      <c r="E136" s="101">
        <v>0</v>
      </c>
      <c r="F136" s="101"/>
      <c r="G136" s="101">
        <v>53</v>
      </c>
      <c r="H136" s="101">
        <v>26</v>
      </c>
      <c r="I136" s="101" t="s">
        <v>210</v>
      </c>
      <c r="J136" s="101" t="s">
        <v>151</v>
      </c>
      <c r="K136" s="101" t="b">
        <v>1</v>
      </c>
      <c r="L136" s="97">
        <v>2028</v>
      </c>
      <c r="M136" s="98">
        <v>471899548</v>
      </c>
      <c r="N136" s="102">
        <v>41026</v>
      </c>
      <c r="O136" s="102">
        <v>41045</v>
      </c>
    </row>
    <row r="137" spans="1:15">
      <c r="A137" s="99">
        <v>2012</v>
      </c>
      <c r="B137" s="100" t="s">
        <v>192</v>
      </c>
      <c r="C137" s="100" t="s">
        <v>193</v>
      </c>
      <c r="D137" s="101">
        <v>1062000</v>
      </c>
      <c r="E137" s="101">
        <v>0</v>
      </c>
      <c r="F137" s="101"/>
      <c r="G137" s="101">
        <v>23</v>
      </c>
      <c r="H137" s="101" t="s">
        <v>126</v>
      </c>
      <c r="I137" s="101"/>
      <c r="J137" s="101" t="s">
        <v>127</v>
      </c>
      <c r="K137" s="101" t="b">
        <v>1</v>
      </c>
      <c r="L137" s="97">
        <v>2015</v>
      </c>
      <c r="M137" s="98">
        <v>7998857</v>
      </c>
      <c r="N137" s="102">
        <v>41026</v>
      </c>
      <c r="O137" s="102">
        <v>41045</v>
      </c>
    </row>
    <row r="138" spans="1:15">
      <c r="A138" s="99">
        <v>2012</v>
      </c>
      <c r="B138" s="100" t="s">
        <v>192</v>
      </c>
      <c r="C138" s="100" t="s">
        <v>193</v>
      </c>
      <c r="D138" s="101">
        <v>1062000</v>
      </c>
      <c r="E138" s="101">
        <v>0</v>
      </c>
      <c r="F138" s="101"/>
      <c r="G138" s="101">
        <v>23</v>
      </c>
      <c r="H138" s="101" t="s">
        <v>126</v>
      </c>
      <c r="I138" s="101"/>
      <c r="J138" s="101" t="s">
        <v>127</v>
      </c>
      <c r="K138" s="101" t="b">
        <v>1</v>
      </c>
      <c r="L138" s="97">
        <v>2027</v>
      </c>
      <c r="M138" s="98">
        <v>54379</v>
      </c>
      <c r="N138" s="102">
        <v>41026</v>
      </c>
      <c r="O138" s="102">
        <v>41045</v>
      </c>
    </row>
    <row r="139" spans="1:15">
      <c r="A139" s="99">
        <v>2012</v>
      </c>
      <c r="B139" s="100" t="s">
        <v>192</v>
      </c>
      <c r="C139" s="100" t="s">
        <v>193</v>
      </c>
      <c r="D139" s="101">
        <v>1062000</v>
      </c>
      <c r="E139" s="101">
        <v>0</v>
      </c>
      <c r="F139" s="101"/>
      <c r="G139" s="101">
        <v>22</v>
      </c>
      <c r="H139" s="101" t="s">
        <v>124</v>
      </c>
      <c r="I139" s="101"/>
      <c r="J139" s="101" t="s">
        <v>125</v>
      </c>
      <c r="K139" s="101" t="b">
        <v>1</v>
      </c>
      <c r="L139" s="97">
        <v>2014</v>
      </c>
      <c r="M139" s="98">
        <v>866427.86</v>
      </c>
      <c r="N139" s="102">
        <v>41026</v>
      </c>
      <c r="O139" s="102">
        <v>41045</v>
      </c>
    </row>
    <row r="140" spans="1:15">
      <c r="A140" s="99">
        <v>2012</v>
      </c>
      <c r="B140" s="100" t="s">
        <v>192</v>
      </c>
      <c r="C140" s="100" t="s">
        <v>193</v>
      </c>
      <c r="D140" s="101">
        <v>1062000</v>
      </c>
      <c r="E140" s="101">
        <v>0</v>
      </c>
      <c r="F140" s="101"/>
      <c r="G140" s="101">
        <v>8</v>
      </c>
      <c r="H140" s="101" t="s">
        <v>104</v>
      </c>
      <c r="I140" s="101"/>
      <c r="J140" s="101" t="s">
        <v>105</v>
      </c>
      <c r="K140" s="101" t="b">
        <v>0</v>
      </c>
      <c r="L140" s="97">
        <v>2024</v>
      </c>
      <c r="M140" s="98">
        <v>164993380</v>
      </c>
      <c r="N140" s="102">
        <v>41026</v>
      </c>
      <c r="O140" s="102">
        <v>41045</v>
      </c>
    </row>
    <row r="141" spans="1:15">
      <c r="A141" s="99">
        <v>2012</v>
      </c>
      <c r="B141" s="100" t="s">
        <v>192</v>
      </c>
      <c r="C141" s="100" t="s">
        <v>193</v>
      </c>
      <c r="D141" s="101">
        <v>1062000</v>
      </c>
      <c r="E141" s="101">
        <v>0</v>
      </c>
      <c r="F141" s="101"/>
      <c r="G141" s="101">
        <v>53</v>
      </c>
      <c r="H141" s="101">
        <v>26</v>
      </c>
      <c r="I141" s="101" t="s">
        <v>210</v>
      </c>
      <c r="J141" s="101" t="s">
        <v>151</v>
      </c>
      <c r="K141" s="101" t="b">
        <v>1</v>
      </c>
      <c r="L141" s="97">
        <v>2020</v>
      </c>
      <c r="M141" s="98">
        <v>378127156</v>
      </c>
      <c r="N141" s="102">
        <v>41026</v>
      </c>
      <c r="O141" s="102">
        <v>41045</v>
      </c>
    </row>
    <row r="142" spans="1:15">
      <c r="A142" s="99">
        <v>2012</v>
      </c>
      <c r="B142" s="100" t="s">
        <v>192</v>
      </c>
      <c r="C142" s="100" t="s">
        <v>193</v>
      </c>
      <c r="D142" s="101">
        <v>1062000</v>
      </c>
      <c r="E142" s="101">
        <v>0</v>
      </c>
      <c r="F142" s="101"/>
      <c r="G142" s="101">
        <v>40</v>
      </c>
      <c r="H142" s="101">
        <v>18</v>
      </c>
      <c r="I142" s="101" t="s">
        <v>194</v>
      </c>
      <c r="J142" s="101" t="s">
        <v>69</v>
      </c>
      <c r="K142" s="101" t="b">
        <v>0</v>
      </c>
      <c r="L142" s="97">
        <v>2018</v>
      </c>
      <c r="M142" s="98">
        <v>0.3362</v>
      </c>
      <c r="N142" s="102">
        <v>41026</v>
      </c>
      <c r="O142" s="102">
        <v>41045</v>
      </c>
    </row>
    <row r="143" spans="1:15">
      <c r="A143" s="99">
        <v>2012</v>
      </c>
      <c r="B143" s="100" t="s">
        <v>192</v>
      </c>
      <c r="C143" s="100" t="s">
        <v>193</v>
      </c>
      <c r="D143" s="101">
        <v>1062000</v>
      </c>
      <c r="E143" s="101">
        <v>0</v>
      </c>
      <c r="F143" s="101"/>
      <c r="G143" s="101">
        <v>30</v>
      </c>
      <c r="H143" s="101">
        <v>11</v>
      </c>
      <c r="I143" s="101"/>
      <c r="J143" s="101" t="s">
        <v>62</v>
      </c>
      <c r="K143" s="101" t="b">
        <v>1</v>
      </c>
      <c r="L143" s="97">
        <v>2014</v>
      </c>
      <c r="M143" s="98">
        <v>23493545</v>
      </c>
      <c r="N143" s="102">
        <v>41026</v>
      </c>
      <c r="O143" s="102">
        <v>41045</v>
      </c>
    </row>
    <row r="144" spans="1:15">
      <c r="A144" s="99">
        <v>2012</v>
      </c>
      <c r="B144" s="100" t="s">
        <v>192</v>
      </c>
      <c r="C144" s="100" t="s">
        <v>193</v>
      </c>
      <c r="D144" s="101">
        <v>1062000</v>
      </c>
      <c r="E144" s="101">
        <v>0</v>
      </c>
      <c r="F144" s="101"/>
      <c r="G144" s="101">
        <v>4</v>
      </c>
      <c r="H144" s="101" t="s">
        <v>98</v>
      </c>
      <c r="I144" s="101"/>
      <c r="J144" s="101" t="s">
        <v>99</v>
      </c>
      <c r="K144" s="101" t="b">
        <v>1</v>
      </c>
      <c r="L144" s="97">
        <v>2024</v>
      </c>
      <c r="M144" s="98">
        <v>500000</v>
      </c>
      <c r="N144" s="102">
        <v>41026</v>
      </c>
      <c r="O144" s="102">
        <v>41045</v>
      </c>
    </row>
    <row r="145" spans="1:15">
      <c r="A145" s="99">
        <v>2012</v>
      </c>
      <c r="B145" s="100" t="s">
        <v>192</v>
      </c>
      <c r="C145" s="100" t="s">
        <v>193</v>
      </c>
      <c r="D145" s="101">
        <v>1062000</v>
      </c>
      <c r="E145" s="101">
        <v>0</v>
      </c>
      <c r="F145" s="101"/>
      <c r="G145" s="101">
        <v>43</v>
      </c>
      <c r="H145" s="101" t="s">
        <v>144</v>
      </c>
      <c r="I145" s="101" t="s">
        <v>201</v>
      </c>
      <c r="J145" s="101" t="s">
        <v>74</v>
      </c>
      <c r="K145" s="101" t="b">
        <v>0</v>
      </c>
      <c r="L145" s="97">
        <v>2017</v>
      </c>
      <c r="M145" s="98">
        <v>6.8500000000000005E-2</v>
      </c>
      <c r="N145" s="102">
        <v>41026</v>
      </c>
      <c r="O145" s="102">
        <v>41045</v>
      </c>
    </row>
    <row r="146" spans="1:15">
      <c r="A146" s="99">
        <v>2012</v>
      </c>
      <c r="B146" s="100" t="s">
        <v>192</v>
      </c>
      <c r="C146" s="100" t="s">
        <v>193</v>
      </c>
      <c r="D146" s="101">
        <v>1062000</v>
      </c>
      <c r="E146" s="101">
        <v>0</v>
      </c>
      <c r="F146" s="101"/>
      <c r="G146" s="101">
        <v>2</v>
      </c>
      <c r="H146" s="101" t="s">
        <v>94</v>
      </c>
      <c r="I146" s="101"/>
      <c r="J146" s="101" t="s">
        <v>95</v>
      </c>
      <c r="K146" s="101" t="b">
        <v>1</v>
      </c>
      <c r="L146" s="97">
        <v>2025</v>
      </c>
      <c r="M146" s="98">
        <v>431397365</v>
      </c>
      <c r="N146" s="102">
        <v>41026</v>
      </c>
      <c r="O146" s="102">
        <v>41045</v>
      </c>
    </row>
    <row r="147" spans="1:15">
      <c r="A147" s="99">
        <v>2012</v>
      </c>
      <c r="B147" s="100" t="s">
        <v>192</v>
      </c>
      <c r="C147" s="100" t="s">
        <v>193</v>
      </c>
      <c r="D147" s="101">
        <v>1062000</v>
      </c>
      <c r="E147" s="101">
        <v>0</v>
      </c>
      <c r="F147" s="101"/>
      <c r="G147" s="101">
        <v>45</v>
      </c>
      <c r="H147" s="101" t="s">
        <v>146</v>
      </c>
      <c r="I147" s="101" t="s">
        <v>203</v>
      </c>
      <c r="J147" s="101" t="s">
        <v>53</v>
      </c>
      <c r="K147" s="101" t="b">
        <v>0</v>
      </c>
      <c r="L147" s="97">
        <v>2014</v>
      </c>
      <c r="M147" s="98">
        <v>7.7200000000000005E-2</v>
      </c>
      <c r="N147" s="102">
        <v>41026</v>
      </c>
      <c r="O147" s="102">
        <v>41045</v>
      </c>
    </row>
    <row r="148" spans="1:15">
      <c r="A148" s="99">
        <v>2012</v>
      </c>
      <c r="B148" s="100" t="s">
        <v>192</v>
      </c>
      <c r="C148" s="100" t="s">
        <v>193</v>
      </c>
      <c r="D148" s="101">
        <v>1062000</v>
      </c>
      <c r="E148" s="101">
        <v>0</v>
      </c>
      <c r="F148" s="101"/>
      <c r="G148" s="101">
        <v>40</v>
      </c>
      <c r="H148" s="101">
        <v>18</v>
      </c>
      <c r="I148" s="101" t="s">
        <v>194</v>
      </c>
      <c r="J148" s="101" t="s">
        <v>69</v>
      </c>
      <c r="K148" s="101" t="b">
        <v>0</v>
      </c>
      <c r="L148" s="97">
        <v>2022</v>
      </c>
      <c r="M148" s="98">
        <v>9.1700000000000004E-2</v>
      </c>
      <c r="N148" s="102">
        <v>41026</v>
      </c>
      <c r="O148" s="102">
        <v>41045</v>
      </c>
    </row>
    <row r="149" spans="1:15">
      <c r="A149" s="99">
        <v>2012</v>
      </c>
      <c r="B149" s="100" t="s">
        <v>192</v>
      </c>
      <c r="C149" s="100" t="s">
        <v>193</v>
      </c>
      <c r="D149" s="101">
        <v>1062000</v>
      </c>
      <c r="E149" s="101">
        <v>0</v>
      </c>
      <c r="F149" s="101"/>
      <c r="G149" s="101">
        <v>49</v>
      </c>
      <c r="H149" s="101" t="s">
        <v>148</v>
      </c>
      <c r="I149" s="101" t="s">
        <v>199</v>
      </c>
      <c r="J149" s="101" t="s">
        <v>79</v>
      </c>
      <c r="K149" s="101" t="b">
        <v>0</v>
      </c>
      <c r="L149" s="97">
        <v>2015</v>
      </c>
      <c r="M149" s="98">
        <v>10</v>
      </c>
      <c r="N149" s="102">
        <v>41026</v>
      </c>
      <c r="O149" s="102">
        <v>41045</v>
      </c>
    </row>
    <row r="150" spans="1:15">
      <c r="A150" s="99">
        <v>2012</v>
      </c>
      <c r="B150" s="100" t="s">
        <v>192</v>
      </c>
      <c r="C150" s="100" t="s">
        <v>193</v>
      </c>
      <c r="D150" s="101">
        <v>1062000</v>
      </c>
      <c r="E150" s="101">
        <v>0</v>
      </c>
      <c r="F150" s="101"/>
      <c r="G150" s="101">
        <v>55</v>
      </c>
      <c r="H150" s="101">
        <v>28</v>
      </c>
      <c r="I150" s="101" t="s">
        <v>205</v>
      </c>
      <c r="J150" s="101" t="s">
        <v>48</v>
      </c>
      <c r="K150" s="101" t="b">
        <v>0</v>
      </c>
      <c r="L150" s="97">
        <v>2015</v>
      </c>
      <c r="M150" s="98">
        <v>20744409</v>
      </c>
      <c r="N150" s="102">
        <v>41026</v>
      </c>
      <c r="O150" s="102">
        <v>41045</v>
      </c>
    </row>
    <row r="151" spans="1:15">
      <c r="A151" s="99">
        <v>2012</v>
      </c>
      <c r="B151" s="100" t="s">
        <v>192</v>
      </c>
      <c r="C151" s="100" t="s">
        <v>193</v>
      </c>
      <c r="D151" s="101">
        <v>1062000</v>
      </c>
      <c r="E151" s="101">
        <v>0</v>
      </c>
      <c r="F151" s="101"/>
      <c r="G151" s="101">
        <v>21</v>
      </c>
      <c r="H151" s="101" t="s">
        <v>122</v>
      </c>
      <c r="I151" s="101"/>
      <c r="J151" s="101" t="s">
        <v>123</v>
      </c>
      <c r="K151" s="101" t="b">
        <v>1</v>
      </c>
      <c r="L151" s="97">
        <v>2020</v>
      </c>
      <c r="M151" s="98">
        <v>20700000</v>
      </c>
      <c r="N151" s="102">
        <v>41026</v>
      </c>
      <c r="O151" s="102">
        <v>41045</v>
      </c>
    </row>
    <row r="152" spans="1:15">
      <c r="A152" s="99">
        <v>2012</v>
      </c>
      <c r="B152" s="100" t="s">
        <v>192</v>
      </c>
      <c r="C152" s="100" t="s">
        <v>193</v>
      </c>
      <c r="D152" s="101">
        <v>1062000</v>
      </c>
      <c r="E152" s="101">
        <v>0</v>
      </c>
      <c r="F152" s="101"/>
      <c r="G152" s="101">
        <v>20</v>
      </c>
      <c r="H152" s="101">
        <v>7</v>
      </c>
      <c r="I152" s="101" t="s">
        <v>215</v>
      </c>
      <c r="J152" s="101" t="s">
        <v>12</v>
      </c>
      <c r="K152" s="101" t="b">
        <v>1</v>
      </c>
      <c r="L152" s="97">
        <v>2018</v>
      </c>
      <c r="M152" s="98">
        <v>22743119</v>
      </c>
      <c r="N152" s="102">
        <v>41026</v>
      </c>
      <c r="O152" s="102">
        <v>41045</v>
      </c>
    </row>
    <row r="153" spans="1:15">
      <c r="A153" s="99">
        <v>2012</v>
      </c>
      <c r="B153" s="100" t="s">
        <v>192</v>
      </c>
      <c r="C153" s="100" t="s">
        <v>193</v>
      </c>
      <c r="D153" s="101">
        <v>1062000</v>
      </c>
      <c r="E153" s="101">
        <v>0</v>
      </c>
      <c r="F153" s="101"/>
      <c r="G153" s="101">
        <v>6</v>
      </c>
      <c r="H153" s="101" t="s">
        <v>102</v>
      </c>
      <c r="I153" s="101"/>
      <c r="J153" s="101" t="s">
        <v>103</v>
      </c>
      <c r="K153" s="101" t="b">
        <v>1</v>
      </c>
      <c r="L153" s="97">
        <v>2012</v>
      </c>
      <c r="M153" s="98">
        <v>82468845.569999993</v>
      </c>
      <c r="N153" s="102">
        <v>41026</v>
      </c>
      <c r="O153" s="102">
        <v>41045</v>
      </c>
    </row>
    <row r="154" spans="1:15">
      <c r="A154" s="99">
        <v>2012</v>
      </c>
      <c r="B154" s="100" t="s">
        <v>192</v>
      </c>
      <c r="C154" s="100" t="s">
        <v>193</v>
      </c>
      <c r="D154" s="101">
        <v>1062000</v>
      </c>
      <c r="E154" s="101">
        <v>0</v>
      </c>
      <c r="F154" s="101"/>
      <c r="G154" s="101">
        <v>42</v>
      </c>
      <c r="H154" s="101">
        <v>19</v>
      </c>
      <c r="I154" s="101" t="s">
        <v>200</v>
      </c>
      <c r="J154" s="101" t="s">
        <v>72</v>
      </c>
      <c r="K154" s="101" t="b">
        <v>1</v>
      </c>
      <c r="L154" s="97">
        <v>2029</v>
      </c>
      <c r="M154" s="98">
        <v>7.4999999999999997E-3</v>
      </c>
      <c r="N154" s="102">
        <v>41026</v>
      </c>
      <c r="O154" s="102">
        <v>41045</v>
      </c>
    </row>
    <row r="155" spans="1:15">
      <c r="A155" s="99">
        <v>2012</v>
      </c>
      <c r="B155" s="100" t="s">
        <v>192</v>
      </c>
      <c r="C155" s="100" t="s">
        <v>193</v>
      </c>
      <c r="D155" s="101">
        <v>1062000</v>
      </c>
      <c r="E155" s="101">
        <v>0</v>
      </c>
      <c r="F155" s="101"/>
      <c r="G155" s="101">
        <v>9</v>
      </c>
      <c r="H155" s="101" t="s">
        <v>106</v>
      </c>
      <c r="I155" s="101"/>
      <c r="J155" s="101" t="s">
        <v>107</v>
      </c>
      <c r="K155" s="101" t="b">
        <v>0</v>
      </c>
      <c r="L155" s="97">
        <v>2012</v>
      </c>
      <c r="M155" s="98">
        <v>19380284.949999999</v>
      </c>
      <c r="N155" s="102">
        <v>41026</v>
      </c>
      <c r="O155" s="102">
        <v>41045</v>
      </c>
    </row>
    <row r="156" spans="1:15">
      <c r="A156" s="99">
        <v>2012</v>
      </c>
      <c r="B156" s="100" t="s">
        <v>192</v>
      </c>
      <c r="C156" s="100" t="s">
        <v>193</v>
      </c>
      <c r="D156" s="101">
        <v>1062000</v>
      </c>
      <c r="E156" s="101">
        <v>0</v>
      </c>
      <c r="F156" s="101"/>
      <c r="G156" s="101">
        <v>21</v>
      </c>
      <c r="H156" s="101" t="s">
        <v>122</v>
      </c>
      <c r="I156" s="101"/>
      <c r="J156" s="101" t="s">
        <v>123</v>
      </c>
      <c r="K156" s="101" t="b">
        <v>1</v>
      </c>
      <c r="L156" s="97">
        <v>2028</v>
      </c>
      <c r="M156" s="98">
        <v>3625279</v>
      </c>
      <c r="N156" s="102">
        <v>41026</v>
      </c>
      <c r="O156" s="102">
        <v>41045</v>
      </c>
    </row>
    <row r="157" spans="1:15">
      <c r="A157" s="99">
        <v>2012</v>
      </c>
      <c r="B157" s="100" t="s">
        <v>192</v>
      </c>
      <c r="C157" s="100" t="s">
        <v>193</v>
      </c>
      <c r="D157" s="101">
        <v>1062000</v>
      </c>
      <c r="E157" s="101">
        <v>0</v>
      </c>
      <c r="F157" s="101"/>
      <c r="G157" s="101">
        <v>12</v>
      </c>
      <c r="H157" s="101" t="s">
        <v>112</v>
      </c>
      <c r="I157" s="101"/>
      <c r="J157" s="101" t="s">
        <v>113</v>
      </c>
      <c r="K157" s="101" t="b">
        <v>0</v>
      </c>
      <c r="L157" s="97">
        <v>2013</v>
      </c>
      <c r="M157" s="98">
        <v>498007.02</v>
      </c>
      <c r="N157" s="102">
        <v>41026</v>
      </c>
      <c r="O157" s="102">
        <v>41045</v>
      </c>
    </row>
    <row r="158" spans="1:15">
      <c r="A158" s="99">
        <v>2012</v>
      </c>
      <c r="B158" s="100" t="s">
        <v>192</v>
      </c>
      <c r="C158" s="100" t="s">
        <v>193</v>
      </c>
      <c r="D158" s="101">
        <v>1062000</v>
      </c>
      <c r="E158" s="101">
        <v>0</v>
      </c>
      <c r="F158" s="101"/>
      <c r="G158" s="101">
        <v>7</v>
      </c>
      <c r="H158" s="101">
        <v>2</v>
      </c>
      <c r="I158" s="101"/>
      <c r="J158" s="101" t="s">
        <v>3</v>
      </c>
      <c r="K158" s="101" t="b">
        <v>1</v>
      </c>
      <c r="L158" s="97">
        <v>2014</v>
      </c>
      <c r="M158" s="98">
        <v>292788625</v>
      </c>
      <c r="N158" s="102">
        <v>41026</v>
      </c>
      <c r="O158" s="102">
        <v>41045</v>
      </c>
    </row>
    <row r="159" spans="1:15">
      <c r="A159" s="99">
        <v>2012</v>
      </c>
      <c r="B159" s="100" t="s">
        <v>192</v>
      </c>
      <c r="C159" s="100" t="s">
        <v>193</v>
      </c>
      <c r="D159" s="101">
        <v>1062000</v>
      </c>
      <c r="E159" s="101">
        <v>0</v>
      </c>
      <c r="F159" s="101"/>
      <c r="G159" s="101">
        <v>57</v>
      </c>
      <c r="H159" s="101">
        <v>30</v>
      </c>
      <c r="I159" s="101" t="s">
        <v>209</v>
      </c>
      <c r="J159" s="101" t="s">
        <v>153</v>
      </c>
      <c r="K159" s="101" t="b">
        <v>0</v>
      </c>
      <c r="L159" s="97">
        <v>2014</v>
      </c>
      <c r="M159" s="98">
        <v>16900000</v>
      </c>
      <c r="N159" s="102">
        <v>41026</v>
      </c>
      <c r="O159" s="102">
        <v>41045</v>
      </c>
    </row>
    <row r="160" spans="1:15">
      <c r="A160" s="99">
        <v>2012</v>
      </c>
      <c r="B160" s="100" t="s">
        <v>192</v>
      </c>
      <c r="C160" s="100" t="s">
        <v>193</v>
      </c>
      <c r="D160" s="101">
        <v>1062000</v>
      </c>
      <c r="E160" s="101">
        <v>0</v>
      </c>
      <c r="F160" s="101"/>
      <c r="G160" s="101">
        <v>48</v>
      </c>
      <c r="H160" s="101">
        <v>22</v>
      </c>
      <c r="I160" s="101" t="s">
        <v>196</v>
      </c>
      <c r="J160" s="101" t="s">
        <v>77</v>
      </c>
      <c r="K160" s="101" t="b">
        <v>0</v>
      </c>
      <c r="L160" s="97">
        <v>2014</v>
      </c>
      <c r="M160" s="98">
        <v>7.4499999999999997E-2</v>
      </c>
      <c r="N160" s="102">
        <v>41026</v>
      </c>
      <c r="O160" s="102">
        <v>41045</v>
      </c>
    </row>
    <row r="161" spans="1:15">
      <c r="A161" s="99">
        <v>2012</v>
      </c>
      <c r="B161" s="100" t="s">
        <v>192</v>
      </c>
      <c r="C161" s="100" t="s">
        <v>193</v>
      </c>
      <c r="D161" s="101">
        <v>1062000</v>
      </c>
      <c r="E161" s="101">
        <v>0</v>
      </c>
      <c r="F161" s="101"/>
      <c r="G161" s="101">
        <v>50</v>
      </c>
      <c r="H161" s="101">
        <v>23</v>
      </c>
      <c r="I161" s="101" t="s">
        <v>197</v>
      </c>
      <c r="J161" s="101" t="s">
        <v>149</v>
      </c>
      <c r="K161" s="101" t="b">
        <v>1</v>
      </c>
      <c r="L161" s="97">
        <v>2014</v>
      </c>
      <c r="M161" s="98">
        <v>318220327</v>
      </c>
      <c r="N161" s="102">
        <v>41026</v>
      </c>
      <c r="O161" s="102">
        <v>41045</v>
      </c>
    </row>
    <row r="162" spans="1:15">
      <c r="A162" s="99">
        <v>2012</v>
      </c>
      <c r="B162" s="100" t="s">
        <v>192</v>
      </c>
      <c r="C162" s="100" t="s">
        <v>193</v>
      </c>
      <c r="D162" s="101">
        <v>1062000</v>
      </c>
      <c r="E162" s="101">
        <v>0</v>
      </c>
      <c r="F162" s="101"/>
      <c r="G162" s="101">
        <v>4</v>
      </c>
      <c r="H162" s="101" t="s">
        <v>98</v>
      </c>
      <c r="I162" s="101"/>
      <c r="J162" s="101" t="s">
        <v>99</v>
      </c>
      <c r="K162" s="101" t="b">
        <v>1</v>
      </c>
      <c r="L162" s="97">
        <v>2025</v>
      </c>
      <c r="M162" s="98">
        <v>500000</v>
      </c>
      <c r="N162" s="102">
        <v>41026</v>
      </c>
      <c r="O162" s="102">
        <v>41045</v>
      </c>
    </row>
    <row r="163" spans="1:15">
      <c r="A163" s="99">
        <v>2012</v>
      </c>
      <c r="B163" s="100" t="s">
        <v>192</v>
      </c>
      <c r="C163" s="100" t="s">
        <v>193</v>
      </c>
      <c r="D163" s="101">
        <v>1062000</v>
      </c>
      <c r="E163" s="101">
        <v>0</v>
      </c>
      <c r="F163" s="101"/>
      <c r="G163" s="101">
        <v>37</v>
      </c>
      <c r="H163" s="101">
        <v>16</v>
      </c>
      <c r="I163" s="101"/>
      <c r="J163" s="101" t="s">
        <v>140</v>
      </c>
      <c r="K163" s="101" t="b">
        <v>1</v>
      </c>
      <c r="L163" s="97">
        <v>2018</v>
      </c>
      <c r="M163" s="98">
        <v>17110112</v>
      </c>
      <c r="N163" s="102">
        <v>41026</v>
      </c>
      <c r="O163" s="102">
        <v>41045</v>
      </c>
    </row>
    <row r="164" spans="1:15">
      <c r="A164" s="99">
        <v>2012</v>
      </c>
      <c r="B164" s="100" t="s">
        <v>192</v>
      </c>
      <c r="C164" s="100" t="s">
        <v>193</v>
      </c>
      <c r="D164" s="101">
        <v>1062000</v>
      </c>
      <c r="E164" s="101">
        <v>0</v>
      </c>
      <c r="F164" s="101"/>
      <c r="G164" s="101">
        <v>42</v>
      </c>
      <c r="H164" s="101">
        <v>19</v>
      </c>
      <c r="I164" s="101" t="s">
        <v>200</v>
      </c>
      <c r="J164" s="101" t="s">
        <v>72</v>
      </c>
      <c r="K164" s="101" t="b">
        <v>1</v>
      </c>
      <c r="L164" s="97">
        <v>2022</v>
      </c>
      <c r="M164" s="98">
        <v>6.1699999999999998E-2</v>
      </c>
      <c r="N164" s="102">
        <v>41026</v>
      </c>
      <c r="O164" s="102">
        <v>41045</v>
      </c>
    </row>
    <row r="165" spans="1:15">
      <c r="A165" s="99">
        <v>2012</v>
      </c>
      <c r="B165" s="100" t="s">
        <v>192</v>
      </c>
      <c r="C165" s="100" t="s">
        <v>193</v>
      </c>
      <c r="D165" s="101">
        <v>1062000</v>
      </c>
      <c r="E165" s="101">
        <v>0</v>
      </c>
      <c r="F165" s="101"/>
      <c r="G165" s="101">
        <v>57</v>
      </c>
      <c r="H165" s="101">
        <v>30</v>
      </c>
      <c r="I165" s="101" t="s">
        <v>209</v>
      </c>
      <c r="J165" s="101" t="s">
        <v>153</v>
      </c>
      <c r="K165" s="101" t="b">
        <v>0</v>
      </c>
      <c r="L165" s="97">
        <v>2013</v>
      </c>
      <c r="M165" s="98">
        <v>17037855</v>
      </c>
      <c r="N165" s="102">
        <v>41026</v>
      </c>
      <c r="O165" s="102">
        <v>41045</v>
      </c>
    </row>
    <row r="166" spans="1:15">
      <c r="A166" s="99">
        <v>2012</v>
      </c>
      <c r="B166" s="100" t="s">
        <v>192</v>
      </c>
      <c r="C166" s="100" t="s">
        <v>193</v>
      </c>
      <c r="D166" s="101">
        <v>1062000</v>
      </c>
      <c r="E166" s="101">
        <v>0</v>
      </c>
      <c r="F166" s="101"/>
      <c r="G166" s="101">
        <v>37</v>
      </c>
      <c r="H166" s="101">
        <v>16</v>
      </c>
      <c r="I166" s="101"/>
      <c r="J166" s="101" t="s">
        <v>140</v>
      </c>
      <c r="K166" s="101" t="b">
        <v>1</v>
      </c>
      <c r="L166" s="97">
        <v>2026</v>
      </c>
      <c r="M166" s="98">
        <v>3625279</v>
      </c>
      <c r="N166" s="102">
        <v>41026</v>
      </c>
      <c r="O166" s="102">
        <v>41045</v>
      </c>
    </row>
    <row r="167" spans="1:15">
      <c r="A167" s="99">
        <v>2012</v>
      </c>
      <c r="B167" s="100" t="s">
        <v>192</v>
      </c>
      <c r="C167" s="100" t="s">
        <v>193</v>
      </c>
      <c r="D167" s="101">
        <v>1062000</v>
      </c>
      <c r="E167" s="101">
        <v>0</v>
      </c>
      <c r="F167" s="101"/>
      <c r="G167" s="101">
        <v>42</v>
      </c>
      <c r="H167" s="101">
        <v>19</v>
      </c>
      <c r="I167" s="101" t="s">
        <v>200</v>
      </c>
      <c r="J167" s="101" t="s">
        <v>72</v>
      </c>
      <c r="K167" s="101" t="b">
        <v>1</v>
      </c>
      <c r="L167" s="97">
        <v>2017</v>
      </c>
      <c r="M167" s="98">
        <v>6.8500000000000005E-2</v>
      </c>
      <c r="N167" s="102">
        <v>41026</v>
      </c>
      <c r="O167" s="102">
        <v>41045</v>
      </c>
    </row>
    <row r="168" spans="1:15">
      <c r="A168" s="99">
        <v>2012</v>
      </c>
      <c r="B168" s="100" t="s">
        <v>192</v>
      </c>
      <c r="C168" s="100" t="s">
        <v>193</v>
      </c>
      <c r="D168" s="101">
        <v>1062000</v>
      </c>
      <c r="E168" s="101">
        <v>0</v>
      </c>
      <c r="F168" s="101"/>
      <c r="G168" s="101">
        <v>46</v>
      </c>
      <c r="H168" s="101">
        <v>21</v>
      </c>
      <c r="I168" s="101" t="s">
        <v>208</v>
      </c>
      <c r="J168" s="101" t="s">
        <v>54</v>
      </c>
      <c r="K168" s="101" t="b">
        <v>1</v>
      </c>
      <c r="L168" s="97">
        <v>2022</v>
      </c>
      <c r="M168" s="98">
        <v>6.1699999999999998E-2</v>
      </c>
      <c r="N168" s="102">
        <v>41026</v>
      </c>
      <c r="O168" s="102">
        <v>41045</v>
      </c>
    </row>
    <row r="169" spans="1:15">
      <c r="A169" s="99">
        <v>2012</v>
      </c>
      <c r="B169" s="100" t="s">
        <v>192</v>
      </c>
      <c r="C169" s="100" t="s">
        <v>193</v>
      </c>
      <c r="D169" s="101">
        <v>1062000</v>
      </c>
      <c r="E169" s="101">
        <v>0</v>
      </c>
      <c r="F169" s="101"/>
      <c r="G169" s="101">
        <v>24</v>
      </c>
      <c r="H169" s="101" t="s">
        <v>128</v>
      </c>
      <c r="I169" s="101"/>
      <c r="J169" s="101" t="s">
        <v>129</v>
      </c>
      <c r="K169" s="101" t="b">
        <v>1</v>
      </c>
      <c r="L169" s="97">
        <v>2029</v>
      </c>
      <c r="M169" s="98">
        <v>36253</v>
      </c>
      <c r="N169" s="102">
        <v>41026</v>
      </c>
      <c r="O169" s="102">
        <v>41045</v>
      </c>
    </row>
    <row r="170" spans="1:15">
      <c r="A170" s="99">
        <v>2012</v>
      </c>
      <c r="B170" s="100" t="s">
        <v>192</v>
      </c>
      <c r="C170" s="100" t="s">
        <v>193</v>
      </c>
      <c r="D170" s="101">
        <v>1062000</v>
      </c>
      <c r="E170" s="101">
        <v>0</v>
      </c>
      <c r="F170" s="101"/>
      <c r="G170" s="101">
        <v>2</v>
      </c>
      <c r="H170" s="101" t="s">
        <v>94</v>
      </c>
      <c r="I170" s="101"/>
      <c r="J170" s="101" t="s">
        <v>95</v>
      </c>
      <c r="K170" s="101" t="b">
        <v>1</v>
      </c>
      <c r="L170" s="97">
        <v>2029</v>
      </c>
      <c r="M170" s="98">
        <v>485541534</v>
      </c>
      <c r="N170" s="102">
        <v>41026</v>
      </c>
      <c r="O170" s="102">
        <v>41045</v>
      </c>
    </row>
    <row r="171" spans="1:15">
      <c r="A171" s="99">
        <v>2012</v>
      </c>
      <c r="B171" s="100" t="s">
        <v>192</v>
      </c>
      <c r="C171" s="100" t="s">
        <v>193</v>
      </c>
      <c r="D171" s="101">
        <v>1062000</v>
      </c>
      <c r="E171" s="101">
        <v>0</v>
      </c>
      <c r="F171" s="101"/>
      <c r="G171" s="101">
        <v>45</v>
      </c>
      <c r="H171" s="101" t="s">
        <v>146</v>
      </c>
      <c r="I171" s="101" t="s">
        <v>203</v>
      </c>
      <c r="J171" s="101" t="s">
        <v>53</v>
      </c>
      <c r="K171" s="101" t="b">
        <v>0</v>
      </c>
      <c r="L171" s="97">
        <v>2015</v>
      </c>
      <c r="M171" s="98">
        <v>8.5500000000000007E-2</v>
      </c>
      <c r="N171" s="102">
        <v>41026</v>
      </c>
      <c r="O171" s="102">
        <v>41045</v>
      </c>
    </row>
    <row r="172" spans="1:15">
      <c r="A172" s="99">
        <v>2012</v>
      </c>
      <c r="B172" s="100" t="s">
        <v>192</v>
      </c>
      <c r="C172" s="100" t="s">
        <v>193</v>
      </c>
      <c r="D172" s="101">
        <v>1062000</v>
      </c>
      <c r="E172" s="101">
        <v>0</v>
      </c>
      <c r="F172" s="101"/>
      <c r="G172" s="101">
        <v>54</v>
      </c>
      <c r="H172" s="101">
        <v>27</v>
      </c>
      <c r="I172" s="101" t="s">
        <v>213</v>
      </c>
      <c r="J172" s="101" t="s">
        <v>46</v>
      </c>
      <c r="K172" s="101" t="b">
        <v>0</v>
      </c>
      <c r="L172" s="97">
        <v>2030</v>
      </c>
      <c r="M172" s="98">
        <v>500607780</v>
      </c>
      <c r="N172" s="102">
        <v>41026</v>
      </c>
      <c r="O172" s="102">
        <v>41045</v>
      </c>
    </row>
    <row r="173" spans="1:15">
      <c r="A173" s="99">
        <v>2012</v>
      </c>
      <c r="B173" s="100" t="s">
        <v>192</v>
      </c>
      <c r="C173" s="100" t="s">
        <v>193</v>
      </c>
      <c r="D173" s="101">
        <v>1062000</v>
      </c>
      <c r="E173" s="101">
        <v>0</v>
      </c>
      <c r="F173" s="101"/>
      <c r="G173" s="101">
        <v>19</v>
      </c>
      <c r="H173" s="101">
        <v>6</v>
      </c>
      <c r="I173" s="101" t="s">
        <v>198</v>
      </c>
      <c r="J173" s="101" t="s">
        <v>121</v>
      </c>
      <c r="K173" s="101" t="b">
        <v>0</v>
      </c>
      <c r="L173" s="97">
        <v>2021</v>
      </c>
      <c r="M173" s="98">
        <v>27197893</v>
      </c>
      <c r="N173" s="102">
        <v>41026</v>
      </c>
      <c r="O173" s="102">
        <v>41045</v>
      </c>
    </row>
    <row r="174" spans="1:15">
      <c r="A174" s="99">
        <v>2012</v>
      </c>
      <c r="B174" s="100" t="s">
        <v>192</v>
      </c>
      <c r="C174" s="100" t="s">
        <v>193</v>
      </c>
      <c r="D174" s="101">
        <v>1062000</v>
      </c>
      <c r="E174" s="101">
        <v>0</v>
      </c>
      <c r="F174" s="101"/>
      <c r="G174" s="101">
        <v>46</v>
      </c>
      <c r="H174" s="101">
        <v>21</v>
      </c>
      <c r="I174" s="101" t="s">
        <v>208</v>
      </c>
      <c r="J174" s="101" t="s">
        <v>54</v>
      </c>
      <c r="K174" s="101" t="b">
        <v>1</v>
      </c>
      <c r="L174" s="97">
        <v>2017</v>
      </c>
      <c r="M174" s="98">
        <v>6.8500000000000005E-2</v>
      </c>
      <c r="N174" s="102">
        <v>41026</v>
      </c>
      <c r="O174" s="102">
        <v>41045</v>
      </c>
    </row>
    <row r="175" spans="1:15">
      <c r="A175" s="99">
        <v>2012</v>
      </c>
      <c r="B175" s="100" t="s">
        <v>192</v>
      </c>
      <c r="C175" s="100" t="s">
        <v>193</v>
      </c>
      <c r="D175" s="101">
        <v>1062000</v>
      </c>
      <c r="E175" s="101">
        <v>0</v>
      </c>
      <c r="F175" s="101"/>
      <c r="G175" s="101">
        <v>2</v>
      </c>
      <c r="H175" s="101" t="s">
        <v>94</v>
      </c>
      <c r="I175" s="101"/>
      <c r="J175" s="101" t="s">
        <v>95</v>
      </c>
      <c r="K175" s="101" t="b">
        <v>1</v>
      </c>
      <c r="L175" s="97">
        <v>2023</v>
      </c>
      <c r="M175" s="98">
        <v>406633391</v>
      </c>
      <c r="N175" s="102">
        <v>41026</v>
      </c>
      <c r="O175" s="102">
        <v>41045</v>
      </c>
    </row>
    <row r="176" spans="1:15">
      <c r="A176" s="99">
        <v>2012</v>
      </c>
      <c r="B176" s="100" t="s">
        <v>192</v>
      </c>
      <c r="C176" s="100" t="s">
        <v>193</v>
      </c>
      <c r="D176" s="101">
        <v>1062000</v>
      </c>
      <c r="E176" s="101">
        <v>0</v>
      </c>
      <c r="F176" s="101"/>
      <c r="G176" s="101">
        <v>47</v>
      </c>
      <c r="H176" s="101" t="s">
        <v>147</v>
      </c>
      <c r="I176" s="101" t="s">
        <v>206</v>
      </c>
      <c r="J176" s="101" t="s">
        <v>76</v>
      </c>
      <c r="K176" s="101" t="b">
        <v>0</v>
      </c>
      <c r="L176" s="97">
        <v>2030</v>
      </c>
      <c r="M176" s="98">
        <v>614</v>
      </c>
      <c r="N176" s="102">
        <v>41026</v>
      </c>
      <c r="O176" s="102">
        <v>41045</v>
      </c>
    </row>
    <row r="177" spans="1:15">
      <c r="A177" s="99">
        <v>2012</v>
      </c>
      <c r="B177" s="100" t="s">
        <v>192</v>
      </c>
      <c r="C177" s="100" t="s">
        <v>193</v>
      </c>
      <c r="D177" s="101">
        <v>1062000</v>
      </c>
      <c r="E177" s="101">
        <v>0</v>
      </c>
      <c r="F177" s="101"/>
      <c r="G177" s="101">
        <v>45</v>
      </c>
      <c r="H177" s="101" t="s">
        <v>146</v>
      </c>
      <c r="I177" s="101" t="s">
        <v>203</v>
      </c>
      <c r="J177" s="101" t="s">
        <v>53</v>
      </c>
      <c r="K177" s="101" t="b">
        <v>0</v>
      </c>
      <c r="L177" s="97">
        <v>2024</v>
      </c>
      <c r="M177" s="98">
        <v>6.4000000000000001E-2</v>
      </c>
      <c r="N177" s="102">
        <v>41026</v>
      </c>
      <c r="O177" s="102">
        <v>41045</v>
      </c>
    </row>
    <row r="178" spans="1:15">
      <c r="A178" s="99">
        <v>2012</v>
      </c>
      <c r="B178" s="100" t="s">
        <v>192</v>
      </c>
      <c r="C178" s="100" t="s">
        <v>193</v>
      </c>
      <c r="D178" s="101">
        <v>1062000</v>
      </c>
      <c r="E178" s="101">
        <v>0</v>
      </c>
      <c r="F178" s="101"/>
      <c r="G178" s="101">
        <v>2</v>
      </c>
      <c r="H178" s="101" t="s">
        <v>94</v>
      </c>
      <c r="I178" s="101"/>
      <c r="J178" s="101" t="s">
        <v>95</v>
      </c>
      <c r="K178" s="101" t="b">
        <v>1</v>
      </c>
      <c r="L178" s="97">
        <v>2022</v>
      </c>
      <c r="M178" s="98">
        <v>394789700</v>
      </c>
      <c r="N178" s="102">
        <v>41026</v>
      </c>
      <c r="O178" s="102">
        <v>41045</v>
      </c>
    </row>
    <row r="179" spans="1:15">
      <c r="A179" s="99">
        <v>2012</v>
      </c>
      <c r="B179" s="100" t="s">
        <v>192</v>
      </c>
      <c r="C179" s="100" t="s">
        <v>193</v>
      </c>
      <c r="D179" s="101">
        <v>1062000</v>
      </c>
      <c r="E179" s="101">
        <v>0</v>
      </c>
      <c r="F179" s="101"/>
      <c r="G179" s="101">
        <v>47</v>
      </c>
      <c r="H179" s="101" t="s">
        <v>147</v>
      </c>
      <c r="I179" s="101" t="s">
        <v>206</v>
      </c>
      <c r="J179" s="101" t="s">
        <v>76</v>
      </c>
      <c r="K179" s="101" t="b">
        <v>0</v>
      </c>
      <c r="L179" s="97">
        <v>2013</v>
      </c>
      <c r="M179" s="98">
        <v>43</v>
      </c>
      <c r="N179" s="102">
        <v>41026</v>
      </c>
      <c r="O179" s="102">
        <v>41045</v>
      </c>
    </row>
    <row r="180" spans="1:15">
      <c r="A180" s="99">
        <v>2012</v>
      </c>
      <c r="B180" s="100" t="s">
        <v>192</v>
      </c>
      <c r="C180" s="100" t="s">
        <v>193</v>
      </c>
      <c r="D180" s="101">
        <v>1062000</v>
      </c>
      <c r="E180" s="101">
        <v>0</v>
      </c>
      <c r="F180" s="101"/>
      <c r="G180" s="101">
        <v>21</v>
      </c>
      <c r="H180" s="101" t="s">
        <v>122</v>
      </c>
      <c r="I180" s="101"/>
      <c r="J180" s="101" t="s">
        <v>123</v>
      </c>
      <c r="K180" s="101" t="b">
        <v>1</v>
      </c>
      <c r="L180" s="97">
        <v>2021</v>
      </c>
      <c r="M180" s="98">
        <v>22083017</v>
      </c>
      <c r="N180" s="102">
        <v>41026</v>
      </c>
      <c r="O180" s="102">
        <v>41045</v>
      </c>
    </row>
    <row r="181" spans="1:15">
      <c r="A181" s="99">
        <v>2012</v>
      </c>
      <c r="B181" s="100" t="s">
        <v>192</v>
      </c>
      <c r="C181" s="100" t="s">
        <v>193</v>
      </c>
      <c r="D181" s="101">
        <v>1062000</v>
      </c>
      <c r="E181" s="101">
        <v>0</v>
      </c>
      <c r="F181" s="101"/>
      <c r="G181" s="101">
        <v>8</v>
      </c>
      <c r="H181" s="101" t="s">
        <v>104</v>
      </c>
      <c r="I181" s="101"/>
      <c r="J181" s="101" t="s">
        <v>105</v>
      </c>
      <c r="K181" s="101" t="b">
        <v>0</v>
      </c>
      <c r="L181" s="97">
        <v>2016</v>
      </c>
      <c r="M181" s="98">
        <v>146466459</v>
      </c>
      <c r="N181" s="102">
        <v>41026</v>
      </c>
      <c r="O181" s="102">
        <v>41045</v>
      </c>
    </row>
    <row r="182" spans="1:15">
      <c r="A182" s="99">
        <v>2012</v>
      </c>
      <c r="B182" s="100" t="s">
        <v>192</v>
      </c>
      <c r="C182" s="100" t="s">
        <v>193</v>
      </c>
      <c r="D182" s="101">
        <v>1062000</v>
      </c>
      <c r="E182" s="101">
        <v>0</v>
      </c>
      <c r="F182" s="101"/>
      <c r="G182" s="101">
        <v>21</v>
      </c>
      <c r="H182" s="101" t="s">
        <v>122</v>
      </c>
      <c r="I182" s="101"/>
      <c r="J182" s="101" t="s">
        <v>123</v>
      </c>
      <c r="K182" s="101" t="b">
        <v>1</v>
      </c>
      <c r="L182" s="97">
        <v>2013</v>
      </c>
      <c r="M182" s="98">
        <v>17037855</v>
      </c>
      <c r="N182" s="102">
        <v>41026</v>
      </c>
      <c r="O182" s="102">
        <v>41045</v>
      </c>
    </row>
    <row r="183" spans="1:15">
      <c r="A183" s="99">
        <v>2012</v>
      </c>
      <c r="B183" s="100" t="s">
        <v>192</v>
      </c>
      <c r="C183" s="100" t="s">
        <v>193</v>
      </c>
      <c r="D183" s="101">
        <v>1062000</v>
      </c>
      <c r="E183" s="101">
        <v>0</v>
      </c>
      <c r="F183" s="101"/>
      <c r="G183" s="101">
        <v>19</v>
      </c>
      <c r="H183" s="101">
        <v>6</v>
      </c>
      <c r="I183" s="101" t="s">
        <v>198</v>
      </c>
      <c r="J183" s="101" t="s">
        <v>121</v>
      </c>
      <c r="K183" s="101" t="b">
        <v>0</v>
      </c>
      <c r="L183" s="97">
        <v>2030</v>
      </c>
      <c r="M183" s="98">
        <v>30767989</v>
      </c>
      <c r="N183" s="102">
        <v>41026</v>
      </c>
      <c r="O183" s="102">
        <v>41045</v>
      </c>
    </row>
    <row r="184" spans="1:15">
      <c r="A184" s="99">
        <v>2012</v>
      </c>
      <c r="B184" s="100" t="s">
        <v>192</v>
      </c>
      <c r="C184" s="100" t="s">
        <v>193</v>
      </c>
      <c r="D184" s="101">
        <v>1062000</v>
      </c>
      <c r="E184" s="101">
        <v>0</v>
      </c>
      <c r="F184" s="101"/>
      <c r="G184" s="101">
        <v>9</v>
      </c>
      <c r="H184" s="101" t="s">
        <v>106</v>
      </c>
      <c r="I184" s="101"/>
      <c r="J184" s="101" t="s">
        <v>107</v>
      </c>
      <c r="K184" s="101" t="b">
        <v>0</v>
      </c>
      <c r="L184" s="97">
        <v>2025</v>
      </c>
      <c r="M184" s="98">
        <v>23343812</v>
      </c>
      <c r="N184" s="102">
        <v>41026</v>
      </c>
      <c r="O184" s="102">
        <v>41045</v>
      </c>
    </row>
    <row r="185" spans="1:15">
      <c r="A185" s="99">
        <v>2012</v>
      </c>
      <c r="B185" s="100" t="s">
        <v>192</v>
      </c>
      <c r="C185" s="100" t="s">
        <v>193</v>
      </c>
      <c r="D185" s="101">
        <v>1062000</v>
      </c>
      <c r="E185" s="101">
        <v>0</v>
      </c>
      <c r="F185" s="101"/>
      <c r="G185" s="101">
        <v>44</v>
      </c>
      <c r="H185" s="101">
        <v>20</v>
      </c>
      <c r="I185" s="101" t="s">
        <v>207</v>
      </c>
      <c r="J185" s="101" t="s">
        <v>145</v>
      </c>
      <c r="K185" s="101" t="b">
        <v>1</v>
      </c>
      <c r="L185" s="97">
        <v>2018</v>
      </c>
      <c r="M185" s="98">
        <v>7.0999999999999994E-2</v>
      </c>
      <c r="N185" s="102">
        <v>41026</v>
      </c>
      <c r="O185" s="102">
        <v>41045</v>
      </c>
    </row>
    <row r="186" spans="1:15">
      <c r="A186" s="99">
        <v>2012</v>
      </c>
      <c r="B186" s="100" t="s">
        <v>192</v>
      </c>
      <c r="C186" s="100" t="s">
        <v>193</v>
      </c>
      <c r="D186" s="101">
        <v>1062000</v>
      </c>
      <c r="E186" s="101">
        <v>0</v>
      </c>
      <c r="F186" s="101"/>
      <c r="G186" s="101">
        <v>9</v>
      </c>
      <c r="H186" s="101" t="s">
        <v>106</v>
      </c>
      <c r="I186" s="101"/>
      <c r="J186" s="101" t="s">
        <v>107</v>
      </c>
      <c r="K186" s="101" t="b">
        <v>0</v>
      </c>
      <c r="L186" s="97">
        <v>2022</v>
      </c>
      <c r="M186" s="98">
        <v>22324084</v>
      </c>
      <c r="N186" s="102">
        <v>41026</v>
      </c>
      <c r="O186" s="102">
        <v>41045</v>
      </c>
    </row>
    <row r="187" spans="1:15">
      <c r="A187" s="99">
        <v>2012</v>
      </c>
      <c r="B187" s="100" t="s">
        <v>192</v>
      </c>
      <c r="C187" s="100" t="s">
        <v>193</v>
      </c>
      <c r="D187" s="101">
        <v>1062000</v>
      </c>
      <c r="E187" s="101">
        <v>0</v>
      </c>
      <c r="F187" s="101"/>
      <c r="G187" s="101">
        <v>45</v>
      </c>
      <c r="H187" s="101" t="s">
        <v>146</v>
      </c>
      <c r="I187" s="101" t="s">
        <v>203</v>
      </c>
      <c r="J187" s="101" t="s">
        <v>53</v>
      </c>
      <c r="K187" s="101" t="b">
        <v>0</v>
      </c>
      <c r="L187" s="97">
        <v>2012</v>
      </c>
      <c r="M187" s="98">
        <v>6.8000000000000005E-2</v>
      </c>
      <c r="N187" s="102">
        <v>41026</v>
      </c>
      <c r="O187" s="102">
        <v>41045</v>
      </c>
    </row>
    <row r="188" spans="1:15">
      <c r="A188" s="99">
        <v>2012</v>
      </c>
      <c r="B188" s="100" t="s">
        <v>192</v>
      </c>
      <c r="C188" s="100" t="s">
        <v>193</v>
      </c>
      <c r="D188" s="101">
        <v>1062000</v>
      </c>
      <c r="E188" s="101">
        <v>0</v>
      </c>
      <c r="F188" s="101"/>
      <c r="G188" s="101">
        <v>1</v>
      </c>
      <c r="H188" s="101">
        <v>1</v>
      </c>
      <c r="I188" s="101" t="s">
        <v>212</v>
      </c>
      <c r="J188" s="101" t="s">
        <v>93</v>
      </c>
      <c r="K188" s="101" t="b">
        <v>1</v>
      </c>
      <c r="L188" s="97">
        <v>2029</v>
      </c>
      <c r="M188" s="98">
        <v>486041534</v>
      </c>
      <c r="N188" s="102">
        <v>41026</v>
      </c>
      <c r="O188" s="102">
        <v>41045</v>
      </c>
    </row>
    <row r="189" spans="1:15">
      <c r="A189" s="99">
        <v>2012</v>
      </c>
      <c r="B189" s="100" t="s">
        <v>192</v>
      </c>
      <c r="C189" s="100" t="s">
        <v>193</v>
      </c>
      <c r="D189" s="101">
        <v>1062000</v>
      </c>
      <c r="E189" s="101">
        <v>0</v>
      </c>
      <c r="F189" s="101"/>
      <c r="G189" s="101">
        <v>4</v>
      </c>
      <c r="H189" s="101" t="s">
        <v>98</v>
      </c>
      <c r="I189" s="101"/>
      <c r="J189" s="101" t="s">
        <v>99</v>
      </c>
      <c r="K189" s="101" t="b">
        <v>1</v>
      </c>
      <c r="L189" s="97">
        <v>2013</v>
      </c>
      <c r="M189" s="98">
        <v>71331262</v>
      </c>
      <c r="N189" s="102">
        <v>41026</v>
      </c>
      <c r="O189" s="102">
        <v>41045</v>
      </c>
    </row>
    <row r="190" spans="1:15">
      <c r="A190" s="99">
        <v>2012</v>
      </c>
      <c r="B190" s="100" t="s">
        <v>192</v>
      </c>
      <c r="C190" s="100" t="s">
        <v>193</v>
      </c>
      <c r="D190" s="101">
        <v>1062000</v>
      </c>
      <c r="E190" s="101">
        <v>0</v>
      </c>
      <c r="F190" s="101"/>
      <c r="G190" s="101">
        <v>46</v>
      </c>
      <c r="H190" s="101">
        <v>21</v>
      </c>
      <c r="I190" s="101" t="s">
        <v>208</v>
      </c>
      <c r="J190" s="101" t="s">
        <v>54</v>
      </c>
      <c r="K190" s="101" t="b">
        <v>1</v>
      </c>
      <c r="L190" s="97">
        <v>2018</v>
      </c>
      <c r="M190" s="98">
        <v>6.3E-2</v>
      </c>
      <c r="N190" s="102">
        <v>41026</v>
      </c>
      <c r="O190" s="102">
        <v>41045</v>
      </c>
    </row>
    <row r="191" spans="1:15">
      <c r="A191" s="99">
        <v>2012</v>
      </c>
      <c r="B191" s="100" t="s">
        <v>192</v>
      </c>
      <c r="C191" s="100" t="s">
        <v>193</v>
      </c>
      <c r="D191" s="101">
        <v>1062000</v>
      </c>
      <c r="E191" s="101">
        <v>0</v>
      </c>
      <c r="F191" s="101"/>
      <c r="G191" s="101">
        <v>5</v>
      </c>
      <c r="H191" s="101" t="s">
        <v>100</v>
      </c>
      <c r="I191" s="101"/>
      <c r="J191" s="101" t="s">
        <v>101</v>
      </c>
      <c r="K191" s="101" t="b">
        <v>1</v>
      </c>
      <c r="L191" s="97">
        <v>2017</v>
      </c>
      <c r="M191" s="98">
        <v>10000000</v>
      </c>
      <c r="N191" s="102">
        <v>41026</v>
      </c>
      <c r="O191" s="102">
        <v>41045</v>
      </c>
    </row>
    <row r="192" spans="1:15">
      <c r="A192" s="99">
        <v>2012</v>
      </c>
      <c r="B192" s="100" t="s">
        <v>192</v>
      </c>
      <c r="C192" s="100" t="s">
        <v>193</v>
      </c>
      <c r="D192" s="101">
        <v>1062000</v>
      </c>
      <c r="E192" s="101">
        <v>0</v>
      </c>
      <c r="F192" s="101"/>
      <c r="G192" s="101">
        <v>51</v>
      </c>
      <c r="H192" s="101">
        <v>24</v>
      </c>
      <c r="I192" s="101" t="s">
        <v>202</v>
      </c>
      <c r="J192" s="101" t="s">
        <v>150</v>
      </c>
      <c r="K192" s="101" t="b">
        <v>1</v>
      </c>
      <c r="L192" s="97">
        <v>2019</v>
      </c>
      <c r="M192" s="98">
        <v>344268687</v>
      </c>
      <c r="N192" s="102">
        <v>41026</v>
      </c>
      <c r="O192" s="102">
        <v>41045</v>
      </c>
    </row>
    <row r="193" spans="1:15">
      <c r="A193" s="99">
        <v>2012</v>
      </c>
      <c r="B193" s="100" t="s">
        <v>192</v>
      </c>
      <c r="C193" s="100" t="s">
        <v>193</v>
      </c>
      <c r="D193" s="101">
        <v>1062000</v>
      </c>
      <c r="E193" s="101">
        <v>0</v>
      </c>
      <c r="F193" s="101"/>
      <c r="G193" s="101">
        <v>19</v>
      </c>
      <c r="H193" s="101">
        <v>6</v>
      </c>
      <c r="I193" s="101" t="s">
        <v>198</v>
      </c>
      <c r="J193" s="101" t="s">
        <v>121</v>
      </c>
      <c r="K193" s="101" t="b">
        <v>0</v>
      </c>
      <c r="L193" s="97">
        <v>2019</v>
      </c>
      <c r="M193" s="98">
        <v>28866239</v>
      </c>
      <c r="N193" s="102">
        <v>41026</v>
      </c>
      <c r="O193" s="102">
        <v>41045</v>
      </c>
    </row>
    <row r="194" spans="1:15">
      <c r="A194" s="99">
        <v>2012</v>
      </c>
      <c r="B194" s="100" t="s">
        <v>192</v>
      </c>
      <c r="C194" s="100" t="s">
        <v>193</v>
      </c>
      <c r="D194" s="101">
        <v>1062000</v>
      </c>
      <c r="E194" s="101">
        <v>0</v>
      </c>
      <c r="F194" s="101"/>
      <c r="G194" s="101">
        <v>46</v>
      </c>
      <c r="H194" s="101">
        <v>21</v>
      </c>
      <c r="I194" s="101" t="s">
        <v>208</v>
      </c>
      <c r="J194" s="101" t="s">
        <v>54</v>
      </c>
      <c r="K194" s="101" t="b">
        <v>1</v>
      </c>
      <c r="L194" s="97">
        <v>2026</v>
      </c>
      <c r="M194" s="98">
        <v>8.3000000000000001E-3</v>
      </c>
      <c r="N194" s="102">
        <v>41026</v>
      </c>
      <c r="O194" s="102">
        <v>41045</v>
      </c>
    </row>
    <row r="195" spans="1:15">
      <c r="A195" s="99">
        <v>2012</v>
      </c>
      <c r="B195" s="100" t="s">
        <v>192</v>
      </c>
      <c r="C195" s="100" t="s">
        <v>193</v>
      </c>
      <c r="D195" s="101">
        <v>1062000</v>
      </c>
      <c r="E195" s="101">
        <v>0</v>
      </c>
      <c r="F195" s="101"/>
      <c r="G195" s="101">
        <v>14</v>
      </c>
      <c r="H195" s="101">
        <v>3</v>
      </c>
      <c r="I195" s="101" t="s">
        <v>195</v>
      </c>
      <c r="J195" s="101" t="s">
        <v>116</v>
      </c>
      <c r="K195" s="101" t="b">
        <v>1</v>
      </c>
      <c r="L195" s="97">
        <v>2023</v>
      </c>
      <c r="M195" s="98">
        <v>28110645</v>
      </c>
      <c r="N195" s="102">
        <v>41026</v>
      </c>
      <c r="O195" s="102">
        <v>41045</v>
      </c>
    </row>
    <row r="196" spans="1:15">
      <c r="A196" s="99">
        <v>2012</v>
      </c>
      <c r="B196" s="100" t="s">
        <v>192</v>
      </c>
      <c r="C196" s="100" t="s">
        <v>193</v>
      </c>
      <c r="D196" s="101">
        <v>1062000</v>
      </c>
      <c r="E196" s="101">
        <v>0</v>
      </c>
      <c r="F196" s="101"/>
      <c r="G196" s="101">
        <v>7</v>
      </c>
      <c r="H196" s="101">
        <v>2</v>
      </c>
      <c r="I196" s="101"/>
      <c r="J196" s="101" t="s">
        <v>3</v>
      </c>
      <c r="K196" s="101" t="b">
        <v>1</v>
      </c>
      <c r="L196" s="97">
        <v>2024</v>
      </c>
      <c r="M196" s="98">
        <v>393483428</v>
      </c>
      <c r="N196" s="102">
        <v>41026</v>
      </c>
      <c r="O196" s="102">
        <v>41045</v>
      </c>
    </row>
    <row r="197" spans="1:15">
      <c r="A197" s="99">
        <v>2012</v>
      </c>
      <c r="B197" s="100" t="s">
        <v>192</v>
      </c>
      <c r="C197" s="100" t="s">
        <v>193</v>
      </c>
      <c r="D197" s="101">
        <v>1062000</v>
      </c>
      <c r="E197" s="101">
        <v>0</v>
      </c>
      <c r="F197" s="101"/>
      <c r="G197" s="101">
        <v>48</v>
      </c>
      <c r="H197" s="101">
        <v>22</v>
      </c>
      <c r="I197" s="101" t="s">
        <v>196</v>
      </c>
      <c r="J197" s="101" t="s">
        <v>77</v>
      </c>
      <c r="K197" s="101" t="b">
        <v>0</v>
      </c>
      <c r="L197" s="97">
        <v>2019</v>
      </c>
      <c r="M197" s="98">
        <v>6.5799999999999997E-2</v>
      </c>
      <c r="N197" s="102">
        <v>41026</v>
      </c>
      <c r="O197" s="102">
        <v>41045</v>
      </c>
    </row>
    <row r="198" spans="1:15">
      <c r="A198" s="99">
        <v>2012</v>
      </c>
      <c r="B198" s="100" t="s">
        <v>192</v>
      </c>
      <c r="C198" s="100" t="s">
        <v>193</v>
      </c>
      <c r="D198" s="101">
        <v>1062000</v>
      </c>
      <c r="E198" s="101">
        <v>0</v>
      </c>
      <c r="F198" s="101"/>
      <c r="G198" s="101">
        <v>54</v>
      </c>
      <c r="H198" s="101">
        <v>27</v>
      </c>
      <c r="I198" s="101" t="s">
        <v>213</v>
      </c>
      <c r="J198" s="101" t="s">
        <v>46</v>
      </c>
      <c r="K198" s="101" t="b">
        <v>0</v>
      </c>
      <c r="L198" s="97">
        <v>2024</v>
      </c>
      <c r="M198" s="98">
        <v>415707114</v>
      </c>
      <c r="N198" s="102">
        <v>41026</v>
      </c>
      <c r="O198" s="102">
        <v>41045</v>
      </c>
    </row>
    <row r="199" spans="1:15">
      <c r="A199" s="99">
        <v>2012</v>
      </c>
      <c r="B199" s="100" t="s">
        <v>192</v>
      </c>
      <c r="C199" s="100" t="s">
        <v>193</v>
      </c>
      <c r="D199" s="101">
        <v>1062000</v>
      </c>
      <c r="E199" s="101">
        <v>0</v>
      </c>
      <c r="F199" s="101"/>
      <c r="G199" s="101">
        <v>50</v>
      </c>
      <c r="H199" s="101">
        <v>23</v>
      </c>
      <c r="I199" s="101" t="s">
        <v>197</v>
      </c>
      <c r="J199" s="101" t="s">
        <v>149</v>
      </c>
      <c r="K199" s="101" t="b">
        <v>1</v>
      </c>
      <c r="L199" s="97">
        <v>2029</v>
      </c>
      <c r="M199" s="98">
        <v>485541534</v>
      </c>
      <c r="N199" s="102">
        <v>41026</v>
      </c>
      <c r="O199" s="102">
        <v>41045</v>
      </c>
    </row>
    <row r="200" spans="1:15">
      <c r="A200" s="99">
        <v>2012</v>
      </c>
      <c r="B200" s="100" t="s">
        <v>192</v>
      </c>
      <c r="C200" s="100" t="s">
        <v>193</v>
      </c>
      <c r="D200" s="101">
        <v>1062000</v>
      </c>
      <c r="E200" s="101">
        <v>0</v>
      </c>
      <c r="F200" s="101"/>
      <c r="G200" s="101">
        <v>52</v>
      </c>
      <c r="H200" s="101">
        <v>25</v>
      </c>
      <c r="I200" s="101" t="s">
        <v>214</v>
      </c>
      <c r="J200" s="101" t="s">
        <v>49</v>
      </c>
      <c r="K200" s="101" t="b">
        <v>1</v>
      </c>
      <c r="L200" s="97">
        <v>2025</v>
      </c>
      <c r="M200" s="98">
        <v>26018802</v>
      </c>
      <c r="N200" s="102">
        <v>41026</v>
      </c>
      <c r="O200" s="102">
        <v>41045</v>
      </c>
    </row>
    <row r="201" spans="1:15">
      <c r="A201" s="99">
        <v>2012</v>
      </c>
      <c r="B201" s="100" t="s">
        <v>192</v>
      </c>
      <c r="C201" s="100" t="s">
        <v>193</v>
      </c>
      <c r="D201" s="101">
        <v>1062000</v>
      </c>
      <c r="E201" s="101">
        <v>0</v>
      </c>
      <c r="F201" s="101"/>
      <c r="G201" s="101">
        <v>40</v>
      </c>
      <c r="H201" s="101">
        <v>18</v>
      </c>
      <c r="I201" s="101" t="s">
        <v>194</v>
      </c>
      <c r="J201" s="101" t="s">
        <v>69</v>
      </c>
      <c r="K201" s="101" t="b">
        <v>0</v>
      </c>
      <c r="L201" s="97">
        <v>2016</v>
      </c>
      <c r="M201" s="98">
        <v>0.45040000000000002</v>
      </c>
      <c r="N201" s="102">
        <v>41026</v>
      </c>
      <c r="O201" s="102">
        <v>41045</v>
      </c>
    </row>
    <row r="202" spans="1:15">
      <c r="A202" s="99">
        <v>2012</v>
      </c>
      <c r="B202" s="100" t="s">
        <v>192</v>
      </c>
      <c r="C202" s="100" t="s">
        <v>193</v>
      </c>
      <c r="D202" s="101">
        <v>1062000</v>
      </c>
      <c r="E202" s="101">
        <v>0</v>
      </c>
      <c r="F202" s="101"/>
      <c r="G202" s="101">
        <v>26</v>
      </c>
      <c r="H202" s="101">
        <v>9</v>
      </c>
      <c r="I202" s="101" t="s">
        <v>204</v>
      </c>
      <c r="J202" s="101" t="s">
        <v>131</v>
      </c>
      <c r="K202" s="101" t="b">
        <v>0</v>
      </c>
      <c r="L202" s="97">
        <v>2014</v>
      </c>
      <c r="M202" s="98">
        <v>6720778</v>
      </c>
      <c r="N202" s="102">
        <v>41026</v>
      </c>
      <c r="O202" s="102">
        <v>41045</v>
      </c>
    </row>
    <row r="203" spans="1:15">
      <c r="A203" s="99">
        <v>2012</v>
      </c>
      <c r="B203" s="100" t="s">
        <v>192</v>
      </c>
      <c r="C203" s="100" t="s">
        <v>193</v>
      </c>
      <c r="D203" s="101">
        <v>1062000</v>
      </c>
      <c r="E203" s="101">
        <v>0</v>
      </c>
      <c r="F203" s="101"/>
      <c r="G203" s="101">
        <v>8</v>
      </c>
      <c r="H203" s="101" t="s">
        <v>104</v>
      </c>
      <c r="I203" s="101"/>
      <c r="J203" s="101" t="s">
        <v>105</v>
      </c>
      <c r="K203" s="101" t="b">
        <v>0</v>
      </c>
      <c r="L203" s="97">
        <v>2023</v>
      </c>
      <c r="M203" s="98">
        <v>162555055</v>
      </c>
      <c r="N203" s="102">
        <v>41026</v>
      </c>
      <c r="O203" s="102">
        <v>41045</v>
      </c>
    </row>
    <row r="204" spans="1:15">
      <c r="A204" s="99">
        <v>2012</v>
      </c>
      <c r="B204" s="100" t="s">
        <v>192</v>
      </c>
      <c r="C204" s="100" t="s">
        <v>193</v>
      </c>
      <c r="D204" s="101">
        <v>1062000</v>
      </c>
      <c r="E204" s="101">
        <v>0</v>
      </c>
      <c r="F204" s="101"/>
      <c r="G204" s="101">
        <v>45</v>
      </c>
      <c r="H204" s="101" t="s">
        <v>146</v>
      </c>
      <c r="I204" s="101" t="s">
        <v>203</v>
      </c>
      <c r="J204" s="101" t="s">
        <v>53</v>
      </c>
      <c r="K204" s="101" t="b">
        <v>0</v>
      </c>
      <c r="L204" s="97">
        <v>2029</v>
      </c>
      <c r="M204" s="98">
        <v>6.1400000000000003E-2</v>
      </c>
      <c r="N204" s="102">
        <v>41026</v>
      </c>
      <c r="O204" s="102">
        <v>41045</v>
      </c>
    </row>
    <row r="205" spans="1:15">
      <c r="A205" s="99">
        <v>2012</v>
      </c>
      <c r="B205" s="100" t="s">
        <v>192</v>
      </c>
      <c r="C205" s="100" t="s">
        <v>193</v>
      </c>
      <c r="D205" s="101">
        <v>1062000</v>
      </c>
      <c r="E205" s="101">
        <v>0</v>
      </c>
      <c r="F205" s="101"/>
      <c r="G205" s="101">
        <v>30</v>
      </c>
      <c r="H205" s="101">
        <v>11</v>
      </c>
      <c r="I205" s="101"/>
      <c r="J205" s="101" t="s">
        <v>62</v>
      </c>
      <c r="K205" s="101" t="b">
        <v>1</v>
      </c>
      <c r="L205" s="97">
        <v>2013</v>
      </c>
      <c r="M205" s="98">
        <v>46371641.189999998</v>
      </c>
      <c r="N205" s="102">
        <v>41026</v>
      </c>
      <c r="O205" s="102">
        <v>41045</v>
      </c>
    </row>
    <row r="206" spans="1:15">
      <c r="A206" s="99">
        <v>2012</v>
      </c>
      <c r="B206" s="100" t="s">
        <v>192</v>
      </c>
      <c r="C206" s="100" t="s">
        <v>193</v>
      </c>
      <c r="D206" s="101">
        <v>1062000</v>
      </c>
      <c r="E206" s="101">
        <v>0</v>
      </c>
      <c r="F206" s="101"/>
      <c r="G206" s="101">
        <v>14</v>
      </c>
      <c r="H206" s="101">
        <v>3</v>
      </c>
      <c r="I206" s="101" t="s">
        <v>195</v>
      </c>
      <c r="J206" s="101" t="s">
        <v>116</v>
      </c>
      <c r="K206" s="101" t="b">
        <v>1</v>
      </c>
      <c r="L206" s="97">
        <v>2018</v>
      </c>
      <c r="M206" s="98">
        <v>31229358</v>
      </c>
      <c r="N206" s="102">
        <v>41026</v>
      </c>
      <c r="O206" s="102">
        <v>41045</v>
      </c>
    </row>
    <row r="207" spans="1:15">
      <c r="A207" s="99">
        <v>2012</v>
      </c>
      <c r="B207" s="100" t="s">
        <v>192</v>
      </c>
      <c r="C207" s="100" t="s">
        <v>193</v>
      </c>
      <c r="D207" s="101">
        <v>1062000</v>
      </c>
      <c r="E207" s="101">
        <v>0</v>
      </c>
      <c r="F207" s="101"/>
      <c r="G207" s="101">
        <v>26</v>
      </c>
      <c r="H207" s="101">
        <v>9</v>
      </c>
      <c r="I207" s="101" t="s">
        <v>204</v>
      </c>
      <c r="J207" s="101" t="s">
        <v>131</v>
      </c>
      <c r="K207" s="101" t="b">
        <v>0</v>
      </c>
      <c r="L207" s="97">
        <v>2019</v>
      </c>
      <c r="M207" s="98">
        <v>4619814</v>
      </c>
      <c r="N207" s="102">
        <v>41026</v>
      </c>
      <c r="O207" s="102">
        <v>41045</v>
      </c>
    </row>
    <row r="208" spans="1:15">
      <c r="A208" s="99">
        <v>2012</v>
      </c>
      <c r="B208" s="100" t="s">
        <v>192</v>
      </c>
      <c r="C208" s="100" t="s">
        <v>193</v>
      </c>
      <c r="D208" s="101">
        <v>1062000</v>
      </c>
      <c r="E208" s="101">
        <v>0</v>
      </c>
      <c r="F208" s="101"/>
      <c r="G208" s="101">
        <v>23</v>
      </c>
      <c r="H208" s="101" t="s">
        <v>126</v>
      </c>
      <c r="I208" s="101"/>
      <c r="J208" s="101" t="s">
        <v>127</v>
      </c>
      <c r="K208" s="101" t="b">
        <v>1</v>
      </c>
      <c r="L208" s="97">
        <v>2013</v>
      </c>
      <c r="M208" s="98">
        <v>8000009</v>
      </c>
      <c r="N208" s="102">
        <v>41026</v>
      </c>
      <c r="O208" s="102">
        <v>41045</v>
      </c>
    </row>
    <row r="209" spans="1:15">
      <c r="A209" s="99">
        <v>2012</v>
      </c>
      <c r="B209" s="100" t="s">
        <v>192</v>
      </c>
      <c r="C209" s="100" t="s">
        <v>193</v>
      </c>
      <c r="D209" s="101">
        <v>1062000</v>
      </c>
      <c r="E209" s="101">
        <v>0</v>
      </c>
      <c r="F209" s="101"/>
      <c r="G209" s="101">
        <v>51</v>
      </c>
      <c r="H209" s="101">
        <v>24</v>
      </c>
      <c r="I209" s="101" t="s">
        <v>202</v>
      </c>
      <c r="J209" s="101" t="s">
        <v>150</v>
      </c>
      <c r="K209" s="101" t="b">
        <v>1</v>
      </c>
      <c r="L209" s="97">
        <v>2023</v>
      </c>
      <c r="M209" s="98">
        <v>382818358</v>
      </c>
      <c r="N209" s="102">
        <v>41026</v>
      </c>
      <c r="O209" s="102">
        <v>41045</v>
      </c>
    </row>
    <row r="210" spans="1:15">
      <c r="A210" s="99">
        <v>2012</v>
      </c>
      <c r="B210" s="100" t="s">
        <v>192</v>
      </c>
      <c r="C210" s="100" t="s">
        <v>193</v>
      </c>
      <c r="D210" s="101">
        <v>1062000</v>
      </c>
      <c r="E210" s="101">
        <v>0</v>
      </c>
      <c r="F210" s="101"/>
      <c r="G210" s="101">
        <v>27</v>
      </c>
      <c r="H210" s="101">
        <v>10</v>
      </c>
      <c r="I210" s="101"/>
      <c r="J210" s="101" t="s">
        <v>18</v>
      </c>
      <c r="K210" s="101" t="b">
        <v>0</v>
      </c>
      <c r="L210" s="97">
        <v>2014</v>
      </c>
      <c r="M210" s="98">
        <v>30214323</v>
      </c>
      <c r="N210" s="102">
        <v>41026</v>
      </c>
      <c r="O210" s="102">
        <v>41045</v>
      </c>
    </row>
    <row r="211" spans="1:15">
      <c r="A211" s="99">
        <v>2012</v>
      </c>
      <c r="B211" s="100" t="s">
        <v>192</v>
      </c>
      <c r="C211" s="100" t="s">
        <v>193</v>
      </c>
      <c r="D211" s="101">
        <v>1062000</v>
      </c>
      <c r="E211" s="101">
        <v>0</v>
      </c>
      <c r="F211" s="101"/>
      <c r="G211" s="101">
        <v>21</v>
      </c>
      <c r="H211" s="101" t="s">
        <v>122</v>
      </c>
      <c r="I211" s="101"/>
      <c r="J211" s="101" t="s">
        <v>123</v>
      </c>
      <c r="K211" s="101" t="b">
        <v>1</v>
      </c>
      <c r="L211" s="97">
        <v>2019</v>
      </c>
      <c r="M211" s="98">
        <v>19400000</v>
      </c>
      <c r="N211" s="102">
        <v>41026</v>
      </c>
      <c r="O211" s="102">
        <v>41045</v>
      </c>
    </row>
    <row r="212" spans="1:15">
      <c r="A212" s="99">
        <v>2012</v>
      </c>
      <c r="B212" s="100" t="s">
        <v>192</v>
      </c>
      <c r="C212" s="100" t="s">
        <v>193</v>
      </c>
      <c r="D212" s="101">
        <v>1062000</v>
      </c>
      <c r="E212" s="101">
        <v>0</v>
      </c>
      <c r="F212" s="101"/>
      <c r="G212" s="101">
        <v>12</v>
      </c>
      <c r="H212" s="101" t="s">
        <v>112</v>
      </c>
      <c r="I212" s="101"/>
      <c r="J212" s="101" t="s">
        <v>113</v>
      </c>
      <c r="K212" s="101" t="b">
        <v>0</v>
      </c>
      <c r="L212" s="97">
        <v>2016</v>
      </c>
      <c r="M212" s="98">
        <v>250603.4</v>
      </c>
      <c r="N212" s="102">
        <v>41026</v>
      </c>
      <c r="O212" s="102">
        <v>41045</v>
      </c>
    </row>
    <row r="213" spans="1:15">
      <c r="A213" s="99">
        <v>2012</v>
      </c>
      <c r="B213" s="100" t="s">
        <v>192</v>
      </c>
      <c r="C213" s="100" t="s">
        <v>193</v>
      </c>
      <c r="D213" s="101">
        <v>1062000</v>
      </c>
      <c r="E213" s="101">
        <v>0</v>
      </c>
      <c r="F213" s="101"/>
      <c r="G213" s="101">
        <v>1</v>
      </c>
      <c r="H213" s="101">
        <v>1</v>
      </c>
      <c r="I213" s="101" t="s">
        <v>212</v>
      </c>
      <c r="J213" s="101" t="s">
        <v>93</v>
      </c>
      <c r="K213" s="101" t="b">
        <v>1</v>
      </c>
      <c r="L213" s="97">
        <v>2030</v>
      </c>
      <c r="M213" s="98">
        <v>500607780</v>
      </c>
      <c r="N213" s="102">
        <v>41026</v>
      </c>
      <c r="O213" s="102">
        <v>41045</v>
      </c>
    </row>
    <row r="214" spans="1:15">
      <c r="A214" s="99">
        <v>2012</v>
      </c>
      <c r="B214" s="100" t="s">
        <v>192</v>
      </c>
      <c r="C214" s="100" t="s">
        <v>193</v>
      </c>
      <c r="D214" s="101">
        <v>1062000</v>
      </c>
      <c r="E214" s="101">
        <v>0</v>
      </c>
      <c r="F214" s="101"/>
      <c r="G214" s="101">
        <v>41</v>
      </c>
      <c r="H214" s="101" t="s">
        <v>143</v>
      </c>
      <c r="I214" s="101" t="s">
        <v>211</v>
      </c>
      <c r="J214" s="101" t="s">
        <v>71</v>
      </c>
      <c r="K214" s="101" t="b">
        <v>0</v>
      </c>
      <c r="L214" s="97">
        <v>2020</v>
      </c>
      <c r="M214" s="98">
        <v>0.2147</v>
      </c>
      <c r="N214" s="102">
        <v>41026</v>
      </c>
      <c r="O214" s="102">
        <v>41045</v>
      </c>
    </row>
    <row r="215" spans="1:15">
      <c r="A215" s="99">
        <v>2012</v>
      </c>
      <c r="B215" s="100" t="s">
        <v>192</v>
      </c>
      <c r="C215" s="100" t="s">
        <v>193</v>
      </c>
      <c r="D215" s="101">
        <v>1062000</v>
      </c>
      <c r="E215" s="101">
        <v>0</v>
      </c>
      <c r="F215" s="101"/>
      <c r="G215" s="101">
        <v>27</v>
      </c>
      <c r="H215" s="101">
        <v>10</v>
      </c>
      <c r="I215" s="101"/>
      <c r="J215" s="101" t="s">
        <v>18</v>
      </c>
      <c r="K215" s="101" t="b">
        <v>0</v>
      </c>
      <c r="L215" s="97">
        <v>2029</v>
      </c>
      <c r="M215" s="98">
        <v>26224864.629999999</v>
      </c>
      <c r="N215" s="102">
        <v>41026</v>
      </c>
      <c r="O215" s="102">
        <v>41045</v>
      </c>
    </row>
    <row r="216" spans="1:15">
      <c r="A216" s="99">
        <v>2012</v>
      </c>
      <c r="B216" s="100" t="s">
        <v>192</v>
      </c>
      <c r="C216" s="100" t="s">
        <v>193</v>
      </c>
      <c r="D216" s="101">
        <v>1062000</v>
      </c>
      <c r="E216" s="101">
        <v>0</v>
      </c>
      <c r="F216" s="101"/>
      <c r="G216" s="101">
        <v>7</v>
      </c>
      <c r="H216" s="101">
        <v>2</v>
      </c>
      <c r="I216" s="101"/>
      <c r="J216" s="101" t="s">
        <v>3</v>
      </c>
      <c r="K216" s="101" t="b">
        <v>1</v>
      </c>
      <c r="L216" s="97">
        <v>2025</v>
      </c>
      <c r="M216" s="98">
        <v>405287931</v>
      </c>
      <c r="N216" s="102">
        <v>41026</v>
      </c>
      <c r="O216" s="102">
        <v>41045</v>
      </c>
    </row>
    <row r="217" spans="1:15">
      <c r="A217" s="99">
        <v>2012</v>
      </c>
      <c r="B217" s="100" t="s">
        <v>192</v>
      </c>
      <c r="C217" s="100" t="s">
        <v>193</v>
      </c>
      <c r="D217" s="101">
        <v>1062000</v>
      </c>
      <c r="E217" s="101">
        <v>0</v>
      </c>
      <c r="F217" s="101"/>
      <c r="G217" s="101">
        <v>21</v>
      </c>
      <c r="H217" s="101" t="s">
        <v>122</v>
      </c>
      <c r="I217" s="101"/>
      <c r="J217" s="101" t="s">
        <v>123</v>
      </c>
      <c r="K217" s="101" t="b">
        <v>1</v>
      </c>
      <c r="L217" s="97">
        <v>2026</v>
      </c>
      <c r="M217" s="98">
        <v>3625279</v>
      </c>
      <c r="N217" s="102">
        <v>41026</v>
      </c>
      <c r="O217" s="102">
        <v>41045</v>
      </c>
    </row>
    <row r="218" spans="1:15">
      <c r="A218" s="99">
        <v>2012</v>
      </c>
      <c r="B218" s="100" t="s">
        <v>192</v>
      </c>
      <c r="C218" s="100" t="s">
        <v>193</v>
      </c>
      <c r="D218" s="101">
        <v>1062000</v>
      </c>
      <c r="E218" s="101">
        <v>0</v>
      </c>
      <c r="F218" s="101"/>
      <c r="G218" s="101">
        <v>28</v>
      </c>
      <c r="H218" s="101" t="s">
        <v>132</v>
      </c>
      <c r="I218" s="101"/>
      <c r="J218" s="101" t="s">
        <v>133</v>
      </c>
      <c r="K218" s="101" t="b">
        <v>0</v>
      </c>
      <c r="L218" s="97">
        <v>2016</v>
      </c>
      <c r="M218" s="98">
        <v>71340</v>
      </c>
      <c r="N218" s="102">
        <v>41026</v>
      </c>
      <c r="O218" s="102">
        <v>41045</v>
      </c>
    </row>
    <row r="219" spans="1:15">
      <c r="A219" s="99">
        <v>2012</v>
      </c>
      <c r="B219" s="100" t="s">
        <v>192</v>
      </c>
      <c r="C219" s="100" t="s">
        <v>193</v>
      </c>
      <c r="D219" s="101">
        <v>1062000</v>
      </c>
      <c r="E219" s="101">
        <v>0</v>
      </c>
      <c r="F219" s="101"/>
      <c r="G219" s="101">
        <v>44</v>
      </c>
      <c r="H219" s="101">
        <v>20</v>
      </c>
      <c r="I219" s="101" t="s">
        <v>207</v>
      </c>
      <c r="J219" s="101" t="s">
        <v>145</v>
      </c>
      <c r="K219" s="101" t="b">
        <v>1</v>
      </c>
      <c r="L219" s="97">
        <v>2013</v>
      </c>
      <c r="M219" s="98">
        <v>9.1200000000000003E-2</v>
      </c>
      <c r="N219" s="102">
        <v>41026</v>
      </c>
      <c r="O219" s="102">
        <v>41045</v>
      </c>
    </row>
    <row r="220" spans="1:15">
      <c r="A220" s="99">
        <v>2012</v>
      </c>
      <c r="B220" s="100" t="s">
        <v>192</v>
      </c>
      <c r="C220" s="100" t="s">
        <v>193</v>
      </c>
      <c r="D220" s="101">
        <v>1062000</v>
      </c>
      <c r="E220" s="101">
        <v>0</v>
      </c>
      <c r="F220" s="101"/>
      <c r="G220" s="101">
        <v>26</v>
      </c>
      <c r="H220" s="101">
        <v>9</v>
      </c>
      <c r="I220" s="101" t="s">
        <v>204</v>
      </c>
      <c r="J220" s="101" t="s">
        <v>131</v>
      </c>
      <c r="K220" s="101" t="b">
        <v>0</v>
      </c>
      <c r="L220" s="97">
        <v>2021</v>
      </c>
      <c r="M220" s="98">
        <v>2135433</v>
      </c>
      <c r="N220" s="102">
        <v>41026</v>
      </c>
      <c r="O220" s="102">
        <v>41045</v>
      </c>
    </row>
    <row r="221" spans="1:15">
      <c r="A221" s="99">
        <v>2012</v>
      </c>
      <c r="B221" s="100" t="s">
        <v>192</v>
      </c>
      <c r="C221" s="100" t="s">
        <v>193</v>
      </c>
      <c r="D221" s="101">
        <v>1062000</v>
      </c>
      <c r="E221" s="101">
        <v>0</v>
      </c>
      <c r="F221" s="101"/>
      <c r="G221" s="101">
        <v>43</v>
      </c>
      <c r="H221" s="101" t="s">
        <v>144</v>
      </c>
      <c r="I221" s="101" t="s">
        <v>201</v>
      </c>
      <c r="J221" s="101" t="s">
        <v>74</v>
      </c>
      <c r="K221" s="101" t="b">
        <v>0</v>
      </c>
      <c r="L221" s="97">
        <v>2019</v>
      </c>
      <c r="M221" s="98">
        <v>6.5799999999999997E-2</v>
      </c>
      <c r="N221" s="102">
        <v>41026</v>
      </c>
      <c r="O221" s="102">
        <v>41045</v>
      </c>
    </row>
    <row r="222" spans="1:15">
      <c r="A222" s="99">
        <v>2012</v>
      </c>
      <c r="B222" s="100" t="s">
        <v>192</v>
      </c>
      <c r="C222" s="100" t="s">
        <v>193</v>
      </c>
      <c r="D222" s="101">
        <v>1062000</v>
      </c>
      <c r="E222" s="101">
        <v>0</v>
      </c>
      <c r="F222" s="101"/>
      <c r="G222" s="101">
        <v>49</v>
      </c>
      <c r="H222" s="101" t="s">
        <v>148</v>
      </c>
      <c r="I222" s="101" t="s">
        <v>199</v>
      </c>
      <c r="J222" s="101" t="s">
        <v>79</v>
      </c>
      <c r="K222" s="101" t="b">
        <v>0</v>
      </c>
      <c r="L222" s="97">
        <v>2030</v>
      </c>
      <c r="M222" s="98">
        <v>614</v>
      </c>
      <c r="N222" s="102">
        <v>41026</v>
      </c>
      <c r="O222" s="102">
        <v>41045</v>
      </c>
    </row>
    <row r="223" spans="1:15">
      <c r="A223" s="99">
        <v>2012</v>
      </c>
      <c r="B223" s="100" t="s">
        <v>192</v>
      </c>
      <c r="C223" s="100" t="s">
        <v>193</v>
      </c>
      <c r="D223" s="101">
        <v>1062000</v>
      </c>
      <c r="E223" s="101">
        <v>0</v>
      </c>
      <c r="F223" s="101"/>
      <c r="G223" s="101">
        <v>41</v>
      </c>
      <c r="H223" s="101" t="s">
        <v>143</v>
      </c>
      <c r="I223" s="101" t="s">
        <v>211</v>
      </c>
      <c r="J223" s="101" t="s">
        <v>71</v>
      </c>
      <c r="K223" s="101" t="b">
        <v>0</v>
      </c>
      <c r="L223" s="97">
        <v>2025</v>
      </c>
      <c r="M223" s="98">
        <v>3.3599999999999998E-2</v>
      </c>
      <c r="N223" s="102">
        <v>41026</v>
      </c>
      <c r="O223" s="102">
        <v>41045</v>
      </c>
    </row>
    <row r="224" spans="1:15">
      <c r="A224" s="99">
        <v>2012</v>
      </c>
      <c r="B224" s="100" t="s">
        <v>192</v>
      </c>
      <c r="C224" s="100" t="s">
        <v>193</v>
      </c>
      <c r="D224" s="101">
        <v>1062000</v>
      </c>
      <c r="E224" s="101">
        <v>0</v>
      </c>
      <c r="F224" s="101"/>
      <c r="G224" s="101">
        <v>40</v>
      </c>
      <c r="H224" s="101">
        <v>18</v>
      </c>
      <c r="I224" s="101" t="s">
        <v>194</v>
      </c>
      <c r="J224" s="101" t="s">
        <v>69</v>
      </c>
      <c r="K224" s="101" t="b">
        <v>0</v>
      </c>
      <c r="L224" s="97">
        <v>2019</v>
      </c>
      <c r="M224" s="98">
        <v>0.2767</v>
      </c>
      <c r="N224" s="102">
        <v>41026</v>
      </c>
      <c r="O224" s="102">
        <v>41045</v>
      </c>
    </row>
    <row r="225" spans="1:15">
      <c r="A225" s="99">
        <v>2012</v>
      </c>
      <c r="B225" s="100" t="s">
        <v>192</v>
      </c>
      <c r="C225" s="100" t="s">
        <v>193</v>
      </c>
      <c r="D225" s="101">
        <v>1062000</v>
      </c>
      <c r="E225" s="101">
        <v>0</v>
      </c>
      <c r="F225" s="101"/>
      <c r="G225" s="101">
        <v>41</v>
      </c>
      <c r="H225" s="101" t="s">
        <v>143</v>
      </c>
      <c r="I225" s="101" t="s">
        <v>211</v>
      </c>
      <c r="J225" s="101" t="s">
        <v>71</v>
      </c>
      <c r="K225" s="101" t="b">
        <v>0</v>
      </c>
      <c r="L225" s="97">
        <v>2013</v>
      </c>
      <c r="M225" s="98">
        <v>0.27250000000000002</v>
      </c>
      <c r="N225" s="102">
        <v>41026</v>
      </c>
      <c r="O225" s="102">
        <v>41045</v>
      </c>
    </row>
    <row r="226" spans="1:15">
      <c r="A226" s="99">
        <v>2012</v>
      </c>
      <c r="B226" s="100" t="s">
        <v>192</v>
      </c>
      <c r="C226" s="100" t="s">
        <v>193</v>
      </c>
      <c r="D226" s="101">
        <v>1062000</v>
      </c>
      <c r="E226" s="101">
        <v>0</v>
      </c>
      <c r="F226" s="101"/>
      <c r="G226" s="101">
        <v>49</v>
      </c>
      <c r="H226" s="101" t="s">
        <v>148</v>
      </c>
      <c r="I226" s="101" t="s">
        <v>199</v>
      </c>
      <c r="J226" s="101" t="s">
        <v>79</v>
      </c>
      <c r="K226" s="101" t="b">
        <v>0</v>
      </c>
      <c r="L226" s="97">
        <v>2017</v>
      </c>
      <c r="M226" s="98">
        <v>12</v>
      </c>
      <c r="N226" s="102">
        <v>41026</v>
      </c>
      <c r="O226" s="102">
        <v>41045</v>
      </c>
    </row>
    <row r="227" spans="1:15">
      <c r="A227" s="99">
        <v>2012</v>
      </c>
      <c r="B227" s="100" t="s">
        <v>192</v>
      </c>
      <c r="C227" s="100" t="s">
        <v>193</v>
      </c>
      <c r="D227" s="101">
        <v>1062000</v>
      </c>
      <c r="E227" s="101">
        <v>0</v>
      </c>
      <c r="F227" s="101"/>
      <c r="G227" s="101">
        <v>27</v>
      </c>
      <c r="H227" s="101">
        <v>10</v>
      </c>
      <c r="I227" s="101"/>
      <c r="J227" s="101" t="s">
        <v>18</v>
      </c>
      <c r="K227" s="101" t="b">
        <v>0</v>
      </c>
      <c r="L227" s="97">
        <v>2016</v>
      </c>
      <c r="M227" s="98">
        <v>6768390</v>
      </c>
      <c r="N227" s="102">
        <v>41026</v>
      </c>
      <c r="O227" s="102">
        <v>41045</v>
      </c>
    </row>
    <row r="228" spans="1:15">
      <c r="A228" s="99">
        <v>2012</v>
      </c>
      <c r="B228" s="100" t="s">
        <v>192</v>
      </c>
      <c r="C228" s="100" t="s">
        <v>193</v>
      </c>
      <c r="D228" s="101">
        <v>1062000</v>
      </c>
      <c r="E228" s="101">
        <v>0</v>
      </c>
      <c r="F228" s="101"/>
      <c r="G228" s="101">
        <v>56</v>
      </c>
      <c r="H228" s="101">
        <v>29</v>
      </c>
      <c r="I228" s="101" t="s">
        <v>216</v>
      </c>
      <c r="J228" s="101" t="s">
        <v>152</v>
      </c>
      <c r="K228" s="101" t="b">
        <v>0</v>
      </c>
      <c r="L228" s="97">
        <v>2014</v>
      </c>
      <c r="M228" s="98">
        <v>23493545</v>
      </c>
      <c r="N228" s="102">
        <v>41026</v>
      </c>
      <c r="O228" s="102">
        <v>41045</v>
      </c>
    </row>
    <row r="229" spans="1:15">
      <c r="A229" s="99">
        <v>2012</v>
      </c>
      <c r="B229" s="100" t="s">
        <v>192</v>
      </c>
      <c r="C229" s="100" t="s">
        <v>193</v>
      </c>
      <c r="D229" s="101">
        <v>1062000</v>
      </c>
      <c r="E229" s="101">
        <v>0</v>
      </c>
      <c r="F229" s="101"/>
      <c r="G229" s="101">
        <v>43</v>
      </c>
      <c r="H229" s="101" t="s">
        <v>144</v>
      </c>
      <c r="I229" s="101" t="s">
        <v>201</v>
      </c>
      <c r="J229" s="101" t="s">
        <v>74</v>
      </c>
      <c r="K229" s="101" t="b">
        <v>0</v>
      </c>
      <c r="L229" s="97">
        <v>2029</v>
      </c>
      <c r="M229" s="98">
        <v>7.4999999999999997E-3</v>
      </c>
      <c r="N229" s="102">
        <v>41026</v>
      </c>
      <c r="O229" s="102">
        <v>41045</v>
      </c>
    </row>
    <row r="230" spans="1:15">
      <c r="A230" s="99">
        <v>2012</v>
      </c>
      <c r="B230" s="100" t="s">
        <v>192</v>
      </c>
      <c r="C230" s="100" t="s">
        <v>193</v>
      </c>
      <c r="D230" s="101">
        <v>1062000</v>
      </c>
      <c r="E230" s="101">
        <v>0</v>
      </c>
      <c r="F230" s="101"/>
      <c r="G230" s="101">
        <v>44</v>
      </c>
      <c r="H230" s="101">
        <v>20</v>
      </c>
      <c r="I230" s="101" t="s">
        <v>207</v>
      </c>
      <c r="J230" s="101" t="s">
        <v>145</v>
      </c>
      <c r="K230" s="101" t="b">
        <v>1</v>
      </c>
      <c r="L230" s="97">
        <v>2015</v>
      </c>
      <c r="M230" s="98">
        <v>6.6299999999999998E-2</v>
      </c>
      <c r="N230" s="102">
        <v>41026</v>
      </c>
      <c r="O230" s="102">
        <v>41045</v>
      </c>
    </row>
    <row r="231" spans="1:15">
      <c r="A231" s="99">
        <v>2012</v>
      </c>
      <c r="B231" s="100" t="s">
        <v>192</v>
      </c>
      <c r="C231" s="100" t="s">
        <v>193</v>
      </c>
      <c r="D231" s="101">
        <v>1062000</v>
      </c>
      <c r="E231" s="101">
        <v>0</v>
      </c>
      <c r="F231" s="101"/>
      <c r="G231" s="101">
        <v>19</v>
      </c>
      <c r="H231" s="101">
        <v>6</v>
      </c>
      <c r="I231" s="101" t="s">
        <v>198</v>
      </c>
      <c r="J231" s="101" t="s">
        <v>121</v>
      </c>
      <c r="K231" s="101" t="b">
        <v>0</v>
      </c>
      <c r="L231" s="97">
        <v>2017</v>
      </c>
      <c r="M231" s="98">
        <v>30611028</v>
      </c>
      <c r="N231" s="102">
        <v>41026</v>
      </c>
      <c r="O231" s="102">
        <v>41045</v>
      </c>
    </row>
    <row r="232" spans="1:15">
      <c r="A232" s="99">
        <v>2012</v>
      </c>
      <c r="B232" s="100" t="s">
        <v>192</v>
      </c>
      <c r="C232" s="100" t="s">
        <v>193</v>
      </c>
      <c r="D232" s="101">
        <v>1062000</v>
      </c>
      <c r="E232" s="101">
        <v>0</v>
      </c>
      <c r="F232" s="101"/>
      <c r="G232" s="101">
        <v>14</v>
      </c>
      <c r="H232" s="101">
        <v>3</v>
      </c>
      <c r="I232" s="101" t="s">
        <v>195</v>
      </c>
      <c r="J232" s="101" t="s">
        <v>116</v>
      </c>
      <c r="K232" s="101" t="b">
        <v>1</v>
      </c>
      <c r="L232" s="97">
        <v>2027</v>
      </c>
      <c r="M232" s="98">
        <v>28199498</v>
      </c>
      <c r="N232" s="102">
        <v>41026</v>
      </c>
      <c r="O232" s="102">
        <v>41045</v>
      </c>
    </row>
    <row r="233" spans="1:15">
      <c r="A233" s="99">
        <v>2012</v>
      </c>
      <c r="B233" s="100" t="s">
        <v>192</v>
      </c>
      <c r="C233" s="100" t="s">
        <v>193</v>
      </c>
      <c r="D233" s="101">
        <v>1062000</v>
      </c>
      <c r="E233" s="101">
        <v>0</v>
      </c>
      <c r="F233" s="101"/>
      <c r="G233" s="101">
        <v>49</v>
      </c>
      <c r="H233" s="101" t="s">
        <v>148</v>
      </c>
      <c r="I233" s="101" t="s">
        <v>199</v>
      </c>
      <c r="J233" s="101" t="s">
        <v>79</v>
      </c>
      <c r="K233" s="101" t="b">
        <v>0</v>
      </c>
      <c r="L233" s="97">
        <v>2016</v>
      </c>
      <c r="M233" s="98">
        <v>46</v>
      </c>
      <c r="N233" s="102">
        <v>41026</v>
      </c>
      <c r="O233" s="102">
        <v>41045</v>
      </c>
    </row>
    <row r="234" spans="1:15">
      <c r="A234" s="99">
        <v>2012</v>
      </c>
      <c r="B234" s="100" t="s">
        <v>192</v>
      </c>
      <c r="C234" s="100" t="s">
        <v>193</v>
      </c>
      <c r="D234" s="101">
        <v>1062000</v>
      </c>
      <c r="E234" s="101">
        <v>0</v>
      </c>
      <c r="F234" s="101"/>
      <c r="G234" s="101">
        <v>16</v>
      </c>
      <c r="H234" s="101" t="s">
        <v>117</v>
      </c>
      <c r="I234" s="101"/>
      <c r="J234" s="101" t="s">
        <v>118</v>
      </c>
      <c r="K234" s="101" t="b">
        <v>0</v>
      </c>
      <c r="L234" s="97">
        <v>2012</v>
      </c>
      <c r="M234" s="98">
        <v>10844973.48</v>
      </c>
      <c r="N234" s="102">
        <v>41026</v>
      </c>
      <c r="O234" s="102">
        <v>41045</v>
      </c>
    </row>
    <row r="235" spans="1:15">
      <c r="A235" s="99">
        <v>2012</v>
      </c>
      <c r="B235" s="100" t="s">
        <v>192</v>
      </c>
      <c r="C235" s="100" t="s">
        <v>193</v>
      </c>
      <c r="D235" s="101">
        <v>1062000</v>
      </c>
      <c r="E235" s="101">
        <v>0</v>
      </c>
      <c r="F235" s="101"/>
      <c r="G235" s="101">
        <v>33</v>
      </c>
      <c r="H235" s="101">
        <v>13</v>
      </c>
      <c r="I235" s="101"/>
      <c r="J235" s="101" t="s">
        <v>66</v>
      </c>
      <c r="K235" s="101" t="b">
        <v>1</v>
      </c>
      <c r="L235" s="97">
        <v>2028</v>
      </c>
      <c r="M235" s="98">
        <v>3625279.37</v>
      </c>
      <c r="N235" s="102">
        <v>41026</v>
      </c>
      <c r="O235" s="102">
        <v>41045</v>
      </c>
    </row>
    <row r="236" spans="1:15">
      <c r="A236" s="99">
        <v>2012</v>
      </c>
      <c r="B236" s="100" t="s">
        <v>192</v>
      </c>
      <c r="C236" s="100" t="s">
        <v>193</v>
      </c>
      <c r="D236" s="101">
        <v>1062000</v>
      </c>
      <c r="E236" s="101">
        <v>0</v>
      </c>
      <c r="F236" s="101"/>
      <c r="G236" s="101">
        <v>45</v>
      </c>
      <c r="H236" s="101" t="s">
        <v>146</v>
      </c>
      <c r="I236" s="101" t="s">
        <v>203</v>
      </c>
      <c r="J236" s="101" t="s">
        <v>53</v>
      </c>
      <c r="K236" s="101" t="b">
        <v>0</v>
      </c>
      <c r="L236" s="97">
        <v>2023</v>
      </c>
      <c r="M236" s="98">
        <v>6.3500000000000001E-2</v>
      </c>
      <c r="N236" s="102">
        <v>41026</v>
      </c>
      <c r="O236" s="102">
        <v>41045</v>
      </c>
    </row>
    <row r="237" spans="1:15">
      <c r="A237" s="99">
        <v>2012</v>
      </c>
      <c r="B237" s="100" t="s">
        <v>192</v>
      </c>
      <c r="C237" s="100" t="s">
        <v>193</v>
      </c>
      <c r="D237" s="101">
        <v>1062000</v>
      </c>
      <c r="E237" s="101">
        <v>0</v>
      </c>
      <c r="F237" s="101"/>
      <c r="G237" s="101">
        <v>57</v>
      </c>
      <c r="H237" s="101">
        <v>30</v>
      </c>
      <c r="I237" s="101" t="s">
        <v>209</v>
      </c>
      <c r="J237" s="101" t="s">
        <v>153</v>
      </c>
      <c r="K237" s="101" t="b">
        <v>0</v>
      </c>
      <c r="L237" s="97">
        <v>2018</v>
      </c>
      <c r="M237" s="98">
        <v>17110112</v>
      </c>
      <c r="N237" s="102">
        <v>41026</v>
      </c>
      <c r="O237" s="102">
        <v>41045</v>
      </c>
    </row>
    <row r="238" spans="1:15">
      <c r="A238" s="99">
        <v>2012</v>
      </c>
      <c r="B238" s="100" t="s">
        <v>192</v>
      </c>
      <c r="C238" s="100" t="s">
        <v>193</v>
      </c>
      <c r="D238" s="101">
        <v>1062000</v>
      </c>
      <c r="E238" s="101">
        <v>0</v>
      </c>
      <c r="F238" s="101"/>
      <c r="G238" s="101">
        <v>46</v>
      </c>
      <c r="H238" s="101">
        <v>21</v>
      </c>
      <c r="I238" s="101" t="s">
        <v>208</v>
      </c>
      <c r="J238" s="101" t="s">
        <v>54</v>
      </c>
      <c r="K238" s="101" t="b">
        <v>1</v>
      </c>
      <c r="L238" s="97">
        <v>2021</v>
      </c>
      <c r="M238" s="98">
        <v>6.4699999999999994E-2</v>
      </c>
      <c r="N238" s="102">
        <v>41026</v>
      </c>
      <c r="O238" s="102">
        <v>41045</v>
      </c>
    </row>
    <row r="239" spans="1:15">
      <c r="A239" s="99">
        <v>2012</v>
      </c>
      <c r="B239" s="100" t="s">
        <v>192</v>
      </c>
      <c r="C239" s="100" t="s">
        <v>193</v>
      </c>
      <c r="D239" s="101">
        <v>1062000</v>
      </c>
      <c r="E239" s="101">
        <v>0</v>
      </c>
      <c r="F239" s="101"/>
      <c r="G239" s="101">
        <v>24</v>
      </c>
      <c r="H239" s="101" t="s">
        <v>128</v>
      </c>
      <c r="I239" s="101"/>
      <c r="J239" s="101" t="s">
        <v>129</v>
      </c>
      <c r="K239" s="101" t="b">
        <v>1</v>
      </c>
      <c r="L239" s="97">
        <v>2018</v>
      </c>
      <c r="M239" s="98">
        <v>5633007</v>
      </c>
      <c r="N239" s="102">
        <v>41026</v>
      </c>
      <c r="O239" s="102">
        <v>41045</v>
      </c>
    </row>
    <row r="240" spans="1:15">
      <c r="A240" s="99">
        <v>2012</v>
      </c>
      <c r="B240" s="100" t="s">
        <v>192</v>
      </c>
      <c r="C240" s="100" t="s">
        <v>193</v>
      </c>
      <c r="D240" s="101">
        <v>1062000</v>
      </c>
      <c r="E240" s="101">
        <v>0</v>
      </c>
      <c r="F240" s="101"/>
      <c r="G240" s="101">
        <v>51</v>
      </c>
      <c r="H240" s="101">
        <v>24</v>
      </c>
      <c r="I240" s="101" t="s">
        <v>202</v>
      </c>
      <c r="J240" s="101" t="s">
        <v>150</v>
      </c>
      <c r="K240" s="101" t="b">
        <v>1</v>
      </c>
      <c r="L240" s="97">
        <v>2030</v>
      </c>
      <c r="M240" s="98">
        <v>469839791</v>
      </c>
      <c r="N240" s="102">
        <v>41026</v>
      </c>
      <c r="O240" s="102">
        <v>41045</v>
      </c>
    </row>
    <row r="241" spans="1:15">
      <c r="A241" s="99">
        <v>2012</v>
      </c>
      <c r="B241" s="100" t="s">
        <v>192</v>
      </c>
      <c r="C241" s="100" t="s">
        <v>193</v>
      </c>
      <c r="D241" s="101">
        <v>1062000</v>
      </c>
      <c r="E241" s="101">
        <v>0</v>
      </c>
      <c r="F241" s="101"/>
      <c r="G241" s="101">
        <v>52</v>
      </c>
      <c r="H241" s="101">
        <v>25</v>
      </c>
      <c r="I241" s="101" t="s">
        <v>214</v>
      </c>
      <c r="J241" s="101" t="s">
        <v>49</v>
      </c>
      <c r="K241" s="101" t="b">
        <v>1</v>
      </c>
      <c r="L241" s="97">
        <v>2026</v>
      </c>
      <c r="M241" s="98">
        <v>26820211</v>
      </c>
      <c r="N241" s="102">
        <v>41026</v>
      </c>
      <c r="O241" s="102">
        <v>41045</v>
      </c>
    </row>
    <row r="242" spans="1:15">
      <c r="A242" s="99">
        <v>2012</v>
      </c>
      <c r="B242" s="100" t="s">
        <v>192</v>
      </c>
      <c r="C242" s="100" t="s">
        <v>193</v>
      </c>
      <c r="D242" s="101">
        <v>1062000</v>
      </c>
      <c r="E242" s="101">
        <v>0</v>
      </c>
      <c r="F242" s="101"/>
      <c r="G242" s="101">
        <v>7</v>
      </c>
      <c r="H242" s="101">
        <v>2</v>
      </c>
      <c r="I242" s="101"/>
      <c r="J242" s="101" t="s">
        <v>3</v>
      </c>
      <c r="K242" s="101" t="b">
        <v>1</v>
      </c>
      <c r="L242" s="97">
        <v>2026</v>
      </c>
      <c r="M242" s="98">
        <v>417446569</v>
      </c>
      <c r="N242" s="102">
        <v>41026</v>
      </c>
      <c r="O242" s="102">
        <v>41045</v>
      </c>
    </row>
    <row r="243" spans="1:15">
      <c r="A243" s="99">
        <v>2012</v>
      </c>
      <c r="B243" s="100" t="s">
        <v>192</v>
      </c>
      <c r="C243" s="100" t="s">
        <v>193</v>
      </c>
      <c r="D243" s="101">
        <v>1062000</v>
      </c>
      <c r="E243" s="101">
        <v>0</v>
      </c>
      <c r="F243" s="101"/>
      <c r="G243" s="101">
        <v>57</v>
      </c>
      <c r="H243" s="101">
        <v>30</v>
      </c>
      <c r="I243" s="101" t="s">
        <v>209</v>
      </c>
      <c r="J243" s="101" t="s">
        <v>153</v>
      </c>
      <c r="K243" s="101" t="b">
        <v>0</v>
      </c>
      <c r="L243" s="97">
        <v>2017</v>
      </c>
      <c r="M243" s="98">
        <v>15586023</v>
      </c>
      <c r="N243" s="102">
        <v>41026</v>
      </c>
      <c r="O243" s="102">
        <v>41045</v>
      </c>
    </row>
    <row r="244" spans="1:15">
      <c r="A244" s="99">
        <v>2012</v>
      </c>
      <c r="B244" s="100" t="s">
        <v>192</v>
      </c>
      <c r="C244" s="100" t="s">
        <v>193</v>
      </c>
      <c r="D244" s="101">
        <v>1062000</v>
      </c>
      <c r="E244" s="101">
        <v>0</v>
      </c>
      <c r="F244" s="101"/>
      <c r="G244" s="101">
        <v>4</v>
      </c>
      <c r="H244" s="101" t="s">
        <v>98</v>
      </c>
      <c r="I244" s="101"/>
      <c r="J244" s="101" t="s">
        <v>99</v>
      </c>
      <c r="K244" s="101" t="b">
        <v>1</v>
      </c>
      <c r="L244" s="97">
        <v>2019</v>
      </c>
      <c r="M244" s="98">
        <v>7000000</v>
      </c>
      <c r="N244" s="102">
        <v>41026</v>
      </c>
      <c r="O244" s="102">
        <v>41045</v>
      </c>
    </row>
    <row r="245" spans="1:15">
      <c r="A245" s="99">
        <v>2012</v>
      </c>
      <c r="B245" s="100" t="s">
        <v>192</v>
      </c>
      <c r="C245" s="100" t="s">
        <v>193</v>
      </c>
      <c r="D245" s="101">
        <v>1062000</v>
      </c>
      <c r="E245" s="101">
        <v>0</v>
      </c>
      <c r="F245" s="101"/>
      <c r="G245" s="101">
        <v>8</v>
      </c>
      <c r="H245" s="101" t="s">
        <v>104</v>
      </c>
      <c r="I245" s="101"/>
      <c r="J245" s="101" t="s">
        <v>105</v>
      </c>
      <c r="K245" s="101" t="b">
        <v>0</v>
      </c>
      <c r="L245" s="97">
        <v>2021</v>
      </c>
      <c r="M245" s="98">
        <v>157785973</v>
      </c>
      <c r="N245" s="102">
        <v>41026</v>
      </c>
      <c r="O245" s="102">
        <v>41045</v>
      </c>
    </row>
    <row r="246" spans="1:15">
      <c r="A246" s="99">
        <v>2012</v>
      </c>
      <c r="B246" s="100" t="s">
        <v>192</v>
      </c>
      <c r="C246" s="100" t="s">
        <v>193</v>
      </c>
      <c r="D246" s="101">
        <v>1062000</v>
      </c>
      <c r="E246" s="101">
        <v>0</v>
      </c>
      <c r="F246" s="101"/>
      <c r="G246" s="101">
        <v>48</v>
      </c>
      <c r="H246" s="101">
        <v>22</v>
      </c>
      <c r="I246" s="101" t="s">
        <v>196</v>
      </c>
      <c r="J246" s="101" t="s">
        <v>77</v>
      </c>
      <c r="K246" s="101" t="b">
        <v>0</v>
      </c>
      <c r="L246" s="97">
        <v>2012</v>
      </c>
      <c r="M246" s="98">
        <v>5.4300000000000001E-2</v>
      </c>
      <c r="N246" s="102">
        <v>41026</v>
      </c>
      <c r="O246" s="102">
        <v>41045</v>
      </c>
    </row>
    <row r="247" spans="1:15">
      <c r="A247" s="99">
        <v>2012</v>
      </c>
      <c r="B247" s="100" t="s">
        <v>192</v>
      </c>
      <c r="C247" s="100" t="s">
        <v>193</v>
      </c>
      <c r="D247" s="101">
        <v>1062000</v>
      </c>
      <c r="E247" s="101">
        <v>0</v>
      </c>
      <c r="F247" s="101"/>
      <c r="G247" s="101">
        <v>46</v>
      </c>
      <c r="H247" s="101">
        <v>21</v>
      </c>
      <c r="I247" s="101" t="s">
        <v>208</v>
      </c>
      <c r="J247" s="101" t="s">
        <v>54</v>
      </c>
      <c r="K247" s="101" t="b">
        <v>1</v>
      </c>
      <c r="L247" s="97">
        <v>2015</v>
      </c>
      <c r="M247" s="98">
        <v>8.4500000000000006E-2</v>
      </c>
      <c r="N247" s="102">
        <v>41026</v>
      </c>
      <c r="O247" s="102">
        <v>41045</v>
      </c>
    </row>
    <row r="248" spans="1:15">
      <c r="A248" s="99">
        <v>2012</v>
      </c>
      <c r="B248" s="100" t="s">
        <v>192</v>
      </c>
      <c r="C248" s="100" t="s">
        <v>193</v>
      </c>
      <c r="D248" s="101">
        <v>1062000</v>
      </c>
      <c r="E248" s="101">
        <v>0</v>
      </c>
      <c r="F248" s="101"/>
      <c r="G248" s="101">
        <v>7</v>
      </c>
      <c r="H248" s="101">
        <v>2</v>
      </c>
      <c r="I248" s="101"/>
      <c r="J248" s="101" t="s">
        <v>3</v>
      </c>
      <c r="K248" s="101" t="b">
        <v>1</v>
      </c>
      <c r="L248" s="97">
        <v>2020</v>
      </c>
      <c r="M248" s="98">
        <v>349604930</v>
      </c>
      <c r="N248" s="102">
        <v>41026</v>
      </c>
      <c r="O248" s="102">
        <v>41045</v>
      </c>
    </row>
    <row r="249" spans="1:15">
      <c r="A249" s="99">
        <v>2012</v>
      </c>
      <c r="B249" s="100" t="s">
        <v>192</v>
      </c>
      <c r="C249" s="100" t="s">
        <v>193</v>
      </c>
      <c r="D249" s="101">
        <v>1062000</v>
      </c>
      <c r="E249" s="101">
        <v>0</v>
      </c>
      <c r="F249" s="101"/>
      <c r="G249" s="101">
        <v>37</v>
      </c>
      <c r="H249" s="101">
        <v>16</v>
      </c>
      <c r="I249" s="101"/>
      <c r="J249" s="101" t="s">
        <v>140</v>
      </c>
      <c r="K249" s="101" t="b">
        <v>1</v>
      </c>
      <c r="L249" s="97">
        <v>2021</v>
      </c>
      <c r="M249" s="98">
        <v>22083017</v>
      </c>
      <c r="N249" s="102">
        <v>41026</v>
      </c>
      <c r="O249" s="102">
        <v>41045</v>
      </c>
    </row>
    <row r="250" spans="1:15">
      <c r="A250" s="99">
        <v>2012</v>
      </c>
      <c r="B250" s="100" t="s">
        <v>192</v>
      </c>
      <c r="C250" s="100" t="s">
        <v>193</v>
      </c>
      <c r="D250" s="101">
        <v>1062000</v>
      </c>
      <c r="E250" s="101">
        <v>0</v>
      </c>
      <c r="F250" s="101"/>
      <c r="G250" s="101">
        <v>7</v>
      </c>
      <c r="H250" s="101">
        <v>2</v>
      </c>
      <c r="I250" s="101"/>
      <c r="J250" s="101" t="s">
        <v>3</v>
      </c>
      <c r="K250" s="101" t="b">
        <v>1</v>
      </c>
      <c r="L250" s="97">
        <v>2022</v>
      </c>
      <c r="M250" s="98">
        <v>370895870</v>
      </c>
      <c r="N250" s="102">
        <v>41026</v>
      </c>
      <c r="O250" s="102">
        <v>41045</v>
      </c>
    </row>
    <row r="251" spans="1:15">
      <c r="A251" s="99">
        <v>2012</v>
      </c>
      <c r="B251" s="100" t="s">
        <v>192</v>
      </c>
      <c r="C251" s="100" t="s">
        <v>193</v>
      </c>
      <c r="D251" s="101">
        <v>1062000</v>
      </c>
      <c r="E251" s="101">
        <v>0</v>
      </c>
      <c r="F251" s="101"/>
      <c r="G251" s="101">
        <v>50</v>
      </c>
      <c r="H251" s="101">
        <v>23</v>
      </c>
      <c r="I251" s="101" t="s">
        <v>197</v>
      </c>
      <c r="J251" s="101" t="s">
        <v>149</v>
      </c>
      <c r="K251" s="101" t="b">
        <v>1</v>
      </c>
      <c r="L251" s="97">
        <v>2024</v>
      </c>
      <c r="M251" s="98">
        <v>418832393</v>
      </c>
      <c r="N251" s="102">
        <v>41026</v>
      </c>
      <c r="O251" s="102">
        <v>41045</v>
      </c>
    </row>
    <row r="252" spans="1:15">
      <c r="A252" s="99">
        <v>2012</v>
      </c>
      <c r="B252" s="100" t="s">
        <v>192</v>
      </c>
      <c r="C252" s="100" t="s">
        <v>193</v>
      </c>
      <c r="D252" s="101">
        <v>1062000</v>
      </c>
      <c r="E252" s="101">
        <v>0</v>
      </c>
      <c r="F252" s="101"/>
      <c r="G252" s="101">
        <v>12</v>
      </c>
      <c r="H252" s="101" t="s">
        <v>112</v>
      </c>
      <c r="I252" s="101"/>
      <c r="J252" s="101" t="s">
        <v>113</v>
      </c>
      <c r="K252" s="101" t="b">
        <v>0</v>
      </c>
      <c r="L252" s="97">
        <v>2022</v>
      </c>
      <c r="M252" s="98">
        <v>29219.4</v>
      </c>
      <c r="N252" s="102">
        <v>41026</v>
      </c>
      <c r="O252" s="102">
        <v>41045</v>
      </c>
    </row>
    <row r="253" spans="1:15">
      <c r="A253" s="99">
        <v>2012</v>
      </c>
      <c r="B253" s="100" t="s">
        <v>192</v>
      </c>
      <c r="C253" s="100" t="s">
        <v>193</v>
      </c>
      <c r="D253" s="101">
        <v>1062000</v>
      </c>
      <c r="E253" s="101">
        <v>0</v>
      </c>
      <c r="F253" s="101"/>
      <c r="G253" s="101">
        <v>14</v>
      </c>
      <c r="H253" s="101">
        <v>3</v>
      </c>
      <c r="I253" s="101" t="s">
        <v>195</v>
      </c>
      <c r="J253" s="101" t="s">
        <v>116</v>
      </c>
      <c r="K253" s="101" t="b">
        <v>1</v>
      </c>
      <c r="L253" s="97">
        <v>2024</v>
      </c>
      <c r="M253" s="98">
        <v>25848965</v>
      </c>
      <c r="N253" s="102">
        <v>41026</v>
      </c>
      <c r="O253" s="102">
        <v>41045</v>
      </c>
    </row>
    <row r="254" spans="1:15">
      <c r="A254" s="99">
        <v>2012</v>
      </c>
      <c r="B254" s="100" t="s">
        <v>192</v>
      </c>
      <c r="C254" s="100" t="s">
        <v>193</v>
      </c>
      <c r="D254" s="101">
        <v>1062000</v>
      </c>
      <c r="E254" s="101">
        <v>0</v>
      </c>
      <c r="F254" s="101"/>
      <c r="G254" s="101">
        <v>35</v>
      </c>
      <c r="H254" s="101">
        <v>14</v>
      </c>
      <c r="I254" s="101"/>
      <c r="J254" s="101" t="s">
        <v>68</v>
      </c>
      <c r="K254" s="101" t="b">
        <v>1</v>
      </c>
      <c r="L254" s="97">
        <v>2012</v>
      </c>
      <c r="M254" s="98">
        <v>49493281.5</v>
      </c>
      <c r="N254" s="102">
        <v>41026</v>
      </c>
      <c r="O254" s="102">
        <v>41045</v>
      </c>
    </row>
    <row r="255" spans="1:15">
      <c r="A255" s="99">
        <v>2012</v>
      </c>
      <c r="B255" s="100" t="s">
        <v>192</v>
      </c>
      <c r="C255" s="100" t="s">
        <v>193</v>
      </c>
      <c r="D255" s="101">
        <v>1062000</v>
      </c>
      <c r="E255" s="101">
        <v>0</v>
      </c>
      <c r="F255" s="101"/>
      <c r="G255" s="101">
        <v>49</v>
      </c>
      <c r="H255" s="101" t="s">
        <v>148</v>
      </c>
      <c r="I255" s="101" t="s">
        <v>199</v>
      </c>
      <c r="J255" s="101" t="s">
        <v>79</v>
      </c>
      <c r="K255" s="101" t="b">
        <v>0</v>
      </c>
      <c r="L255" s="97">
        <v>2023</v>
      </c>
      <c r="M255" s="98">
        <v>257</v>
      </c>
      <c r="N255" s="102">
        <v>41026</v>
      </c>
      <c r="O255" s="102">
        <v>41045</v>
      </c>
    </row>
    <row r="256" spans="1:15">
      <c r="A256" s="99">
        <v>2012</v>
      </c>
      <c r="B256" s="100" t="s">
        <v>192</v>
      </c>
      <c r="C256" s="100" t="s">
        <v>193</v>
      </c>
      <c r="D256" s="101">
        <v>1062000</v>
      </c>
      <c r="E256" s="101">
        <v>0</v>
      </c>
      <c r="F256" s="101"/>
      <c r="G256" s="101">
        <v>41</v>
      </c>
      <c r="H256" s="101" t="s">
        <v>143</v>
      </c>
      <c r="I256" s="101" t="s">
        <v>211</v>
      </c>
      <c r="J256" s="101" t="s">
        <v>71</v>
      </c>
      <c r="K256" s="101" t="b">
        <v>0</v>
      </c>
      <c r="L256" s="97">
        <v>2017</v>
      </c>
      <c r="M256" s="98">
        <v>0.39479999999999998</v>
      </c>
      <c r="N256" s="102">
        <v>41026</v>
      </c>
      <c r="O256" s="102">
        <v>41045</v>
      </c>
    </row>
    <row r="257" spans="1:15">
      <c r="A257" s="99">
        <v>2012</v>
      </c>
      <c r="B257" s="100" t="s">
        <v>192</v>
      </c>
      <c r="C257" s="100" t="s">
        <v>193</v>
      </c>
      <c r="D257" s="101">
        <v>1062000</v>
      </c>
      <c r="E257" s="101">
        <v>0</v>
      </c>
      <c r="F257" s="101"/>
      <c r="G257" s="101">
        <v>20</v>
      </c>
      <c r="H257" s="101">
        <v>7</v>
      </c>
      <c r="I257" s="101" t="s">
        <v>215</v>
      </c>
      <c r="J257" s="101" t="s">
        <v>12</v>
      </c>
      <c r="K257" s="101" t="b">
        <v>1</v>
      </c>
      <c r="L257" s="97">
        <v>2023</v>
      </c>
      <c r="M257" s="98">
        <v>15505045</v>
      </c>
      <c r="N257" s="102">
        <v>41026</v>
      </c>
      <c r="O257" s="102">
        <v>41045</v>
      </c>
    </row>
    <row r="258" spans="1:15">
      <c r="A258" s="99">
        <v>2012</v>
      </c>
      <c r="B258" s="100" t="s">
        <v>192</v>
      </c>
      <c r="C258" s="100" t="s">
        <v>193</v>
      </c>
      <c r="D258" s="101">
        <v>1062000</v>
      </c>
      <c r="E258" s="101">
        <v>0</v>
      </c>
      <c r="F258" s="101"/>
      <c r="G258" s="101">
        <v>9</v>
      </c>
      <c r="H258" s="101" t="s">
        <v>106</v>
      </c>
      <c r="I258" s="101"/>
      <c r="J258" s="101" t="s">
        <v>107</v>
      </c>
      <c r="K258" s="101" t="b">
        <v>0</v>
      </c>
      <c r="L258" s="97">
        <v>2016</v>
      </c>
      <c r="M258" s="98">
        <v>20416317</v>
      </c>
      <c r="N258" s="102">
        <v>41026</v>
      </c>
      <c r="O258" s="102">
        <v>41045</v>
      </c>
    </row>
    <row r="259" spans="1:15">
      <c r="A259" s="99">
        <v>2012</v>
      </c>
      <c r="B259" s="100" t="s">
        <v>192</v>
      </c>
      <c r="C259" s="100" t="s">
        <v>193</v>
      </c>
      <c r="D259" s="101">
        <v>1062000</v>
      </c>
      <c r="E259" s="101">
        <v>0</v>
      </c>
      <c r="F259" s="101"/>
      <c r="G259" s="101">
        <v>47</v>
      </c>
      <c r="H259" s="101" t="s">
        <v>147</v>
      </c>
      <c r="I259" s="101" t="s">
        <v>206</v>
      </c>
      <c r="J259" s="101" t="s">
        <v>76</v>
      </c>
      <c r="K259" s="101" t="b">
        <v>0</v>
      </c>
      <c r="L259" s="97">
        <v>2024</v>
      </c>
      <c r="M259" s="98">
        <v>551</v>
      </c>
      <c r="N259" s="102">
        <v>41026</v>
      </c>
      <c r="O259" s="102">
        <v>41045</v>
      </c>
    </row>
    <row r="260" spans="1:15">
      <c r="A260" s="99">
        <v>2012</v>
      </c>
      <c r="B260" s="100" t="s">
        <v>192</v>
      </c>
      <c r="C260" s="100" t="s">
        <v>193</v>
      </c>
      <c r="D260" s="101">
        <v>1062000</v>
      </c>
      <c r="E260" s="101">
        <v>0</v>
      </c>
      <c r="F260" s="101"/>
      <c r="G260" s="101">
        <v>42</v>
      </c>
      <c r="H260" s="101">
        <v>19</v>
      </c>
      <c r="I260" s="101" t="s">
        <v>200</v>
      </c>
      <c r="J260" s="101" t="s">
        <v>72</v>
      </c>
      <c r="K260" s="101" t="b">
        <v>1</v>
      </c>
      <c r="L260" s="97">
        <v>2012</v>
      </c>
      <c r="M260" s="98">
        <v>5.4800000000000001E-2</v>
      </c>
      <c r="N260" s="102">
        <v>41026</v>
      </c>
      <c r="O260" s="102">
        <v>41045</v>
      </c>
    </row>
    <row r="261" spans="1:15">
      <c r="A261" s="99">
        <v>2012</v>
      </c>
      <c r="B261" s="100" t="s">
        <v>192</v>
      </c>
      <c r="C261" s="100" t="s">
        <v>193</v>
      </c>
      <c r="D261" s="101">
        <v>1062000</v>
      </c>
      <c r="E261" s="101">
        <v>0</v>
      </c>
      <c r="F261" s="101"/>
      <c r="G261" s="101">
        <v>12</v>
      </c>
      <c r="H261" s="101" t="s">
        <v>112</v>
      </c>
      <c r="I261" s="101"/>
      <c r="J261" s="101" t="s">
        <v>113</v>
      </c>
      <c r="K261" s="101" t="b">
        <v>0</v>
      </c>
      <c r="L261" s="97">
        <v>2020</v>
      </c>
      <c r="M261" s="98">
        <v>29426.400000000001</v>
      </c>
      <c r="N261" s="102">
        <v>41026</v>
      </c>
      <c r="O261" s="102">
        <v>41045</v>
      </c>
    </row>
    <row r="262" spans="1:15">
      <c r="A262" s="99">
        <v>2012</v>
      </c>
      <c r="B262" s="100" t="s">
        <v>192</v>
      </c>
      <c r="C262" s="100" t="s">
        <v>193</v>
      </c>
      <c r="D262" s="101">
        <v>1062000</v>
      </c>
      <c r="E262" s="101">
        <v>0</v>
      </c>
      <c r="F262" s="101"/>
      <c r="G262" s="101">
        <v>46</v>
      </c>
      <c r="H262" s="101">
        <v>21</v>
      </c>
      <c r="I262" s="101" t="s">
        <v>208</v>
      </c>
      <c r="J262" s="101" t="s">
        <v>54</v>
      </c>
      <c r="K262" s="101" t="b">
        <v>1</v>
      </c>
      <c r="L262" s="97">
        <v>2023</v>
      </c>
      <c r="M262" s="98">
        <v>3.78E-2</v>
      </c>
      <c r="N262" s="102">
        <v>41026</v>
      </c>
      <c r="O262" s="102">
        <v>41045</v>
      </c>
    </row>
    <row r="263" spans="1:15">
      <c r="A263" s="99">
        <v>2012</v>
      </c>
      <c r="B263" s="100" t="s">
        <v>192</v>
      </c>
      <c r="C263" s="100" t="s">
        <v>193</v>
      </c>
      <c r="D263" s="101">
        <v>1062000</v>
      </c>
      <c r="E263" s="101">
        <v>0</v>
      </c>
      <c r="F263" s="101"/>
      <c r="G263" s="101">
        <v>44</v>
      </c>
      <c r="H263" s="101">
        <v>20</v>
      </c>
      <c r="I263" s="101" t="s">
        <v>207</v>
      </c>
      <c r="J263" s="101" t="s">
        <v>145</v>
      </c>
      <c r="K263" s="101" t="b">
        <v>1</v>
      </c>
      <c r="L263" s="97">
        <v>2012</v>
      </c>
      <c r="M263" s="98">
        <v>9.35E-2</v>
      </c>
      <c r="N263" s="102">
        <v>41026</v>
      </c>
      <c r="O263" s="102">
        <v>41045</v>
      </c>
    </row>
    <row r="264" spans="1:15">
      <c r="A264" s="99">
        <v>2012</v>
      </c>
      <c r="B264" s="100" t="s">
        <v>192</v>
      </c>
      <c r="C264" s="100" t="s">
        <v>193</v>
      </c>
      <c r="D264" s="101">
        <v>1062000</v>
      </c>
      <c r="E264" s="101">
        <v>0</v>
      </c>
      <c r="F264" s="101"/>
      <c r="G264" s="101">
        <v>55</v>
      </c>
      <c r="H264" s="101">
        <v>28</v>
      </c>
      <c r="I264" s="101" t="s">
        <v>205</v>
      </c>
      <c r="J264" s="101" t="s">
        <v>48</v>
      </c>
      <c r="K264" s="101" t="b">
        <v>0</v>
      </c>
      <c r="L264" s="97">
        <v>2029</v>
      </c>
      <c r="M264" s="98">
        <v>3625279.37</v>
      </c>
      <c r="N264" s="102">
        <v>41026</v>
      </c>
      <c r="O264" s="102">
        <v>41045</v>
      </c>
    </row>
    <row r="265" spans="1:15">
      <c r="A265" s="99">
        <v>2012</v>
      </c>
      <c r="B265" s="100" t="s">
        <v>192</v>
      </c>
      <c r="C265" s="100" t="s">
        <v>193</v>
      </c>
      <c r="D265" s="101">
        <v>1062000</v>
      </c>
      <c r="E265" s="101">
        <v>0</v>
      </c>
      <c r="F265" s="101"/>
      <c r="G265" s="101">
        <v>5</v>
      </c>
      <c r="H265" s="101" t="s">
        <v>100</v>
      </c>
      <c r="I265" s="101"/>
      <c r="J265" s="101" t="s">
        <v>101</v>
      </c>
      <c r="K265" s="101" t="b">
        <v>1</v>
      </c>
      <c r="L265" s="97">
        <v>2027</v>
      </c>
      <c r="M265" s="98">
        <v>500000</v>
      </c>
      <c r="N265" s="102">
        <v>41026</v>
      </c>
      <c r="O265" s="102">
        <v>41045</v>
      </c>
    </row>
    <row r="266" spans="1:15">
      <c r="A266" s="99">
        <v>2012</v>
      </c>
      <c r="B266" s="100" t="s">
        <v>192</v>
      </c>
      <c r="C266" s="100" t="s">
        <v>193</v>
      </c>
      <c r="D266" s="101">
        <v>1062000</v>
      </c>
      <c r="E266" s="101">
        <v>0</v>
      </c>
      <c r="F266" s="101"/>
      <c r="G266" s="101">
        <v>7</v>
      </c>
      <c r="H266" s="101">
        <v>2</v>
      </c>
      <c r="I266" s="101"/>
      <c r="J266" s="101" t="s">
        <v>3</v>
      </c>
      <c r="K266" s="101" t="b">
        <v>1</v>
      </c>
      <c r="L266" s="97">
        <v>2016</v>
      </c>
      <c r="M266" s="98">
        <v>310619452</v>
      </c>
      <c r="N266" s="102">
        <v>41026</v>
      </c>
      <c r="O266" s="102">
        <v>41045</v>
      </c>
    </row>
    <row r="267" spans="1:15">
      <c r="A267" s="99">
        <v>2012</v>
      </c>
      <c r="B267" s="100" t="s">
        <v>192</v>
      </c>
      <c r="C267" s="100" t="s">
        <v>193</v>
      </c>
      <c r="D267" s="101">
        <v>1062000</v>
      </c>
      <c r="E267" s="101">
        <v>0</v>
      </c>
      <c r="F267" s="101"/>
      <c r="G267" s="101">
        <v>7</v>
      </c>
      <c r="H267" s="101">
        <v>2</v>
      </c>
      <c r="I267" s="101"/>
      <c r="J267" s="101" t="s">
        <v>3</v>
      </c>
      <c r="K267" s="101" t="b">
        <v>1</v>
      </c>
      <c r="L267" s="97">
        <v>2017</v>
      </c>
      <c r="M267" s="98">
        <v>319938035</v>
      </c>
      <c r="N267" s="102">
        <v>41026</v>
      </c>
      <c r="O267" s="102">
        <v>41045</v>
      </c>
    </row>
    <row r="268" spans="1:15">
      <c r="A268" s="99">
        <v>2012</v>
      </c>
      <c r="B268" s="100" t="s">
        <v>192</v>
      </c>
      <c r="C268" s="100" t="s">
        <v>193</v>
      </c>
      <c r="D268" s="101">
        <v>1062000</v>
      </c>
      <c r="E268" s="101">
        <v>0</v>
      </c>
      <c r="F268" s="101"/>
      <c r="G268" s="101">
        <v>33</v>
      </c>
      <c r="H268" s="101">
        <v>13</v>
      </c>
      <c r="I268" s="101"/>
      <c r="J268" s="101" t="s">
        <v>66</v>
      </c>
      <c r="K268" s="101" t="b">
        <v>1</v>
      </c>
      <c r="L268" s="97">
        <v>2026</v>
      </c>
      <c r="M268" s="98">
        <v>10875837.369999999</v>
      </c>
      <c r="N268" s="102">
        <v>41026</v>
      </c>
      <c r="O268" s="102">
        <v>41045</v>
      </c>
    </row>
    <row r="269" spans="1:15">
      <c r="A269" s="99">
        <v>2012</v>
      </c>
      <c r="B269" s="100" t="s">
        <v>192</v>
      </c>
      <c r="C269" s="100" t="s">
        <v>193</v>
      </c>
      <c r="D269" s="101">
        <v>1062000</v>
      </c>
      <c r="E269" s="101">
        <v>0</v>
      </c>
      <c r="F269" s="101"/>
      <c r="G269" s="101">
        <v>45</v>
      </c>
      <c r="H269" s="101" t="s">
        <v>146</v>
      </c>
      <c r="I269" s="101" t="s">
        <v>203</v>
      </c>
      <c r="J269" s="101" t="s">
        <v>53</v>
      </c>
      <c r="K269" s="101" t="b">
        <v>0</v>
      </c>
      <c r="L269" s="97">
        <v>2030</v>
      </c>
      <c r="M269" s="98">
        <v>6.1400000000000003E-2</v>
      </c>
      <c r="N269" s="102">
        <v>41026</v>
      </c>
      <c r="O269" s="102">
        <v>41045</v>
      </c>
    </row>
    <row r="270" spans="1:15">
      <c r="A270" s="99">
        <v>2012</v>
      </c>
      <c r="B270" s="100" t="s">
        <v>192</v>
      </c>
      <c r="C270" s="100" t="s">
        <v>193</v>
      </c>
      <c r="D270" s="101">
        <v>1062000</v>
      </c>
      <c r="E270" s="101">
        <v>0</v>
      </c>
      <c r="F270" s="101"/>
      <c r="G270" s="101">
        <v>27</v>
      </c>
      <c r="H270" s="101">
        <v>10</v>
      </c>
      <c r="I270" s="101"/>
      <c r="J270" s="101" t="s">
        <v>18</v>
      </c>
      <c r="K270" s="101" t="b">
        <v>0</v>
      </c>
      <c r="L270" s="97">
        <v>2022</v>
      </c>
      <c r="M270" s="98">
        <v>2364990</v>
      </c>
      <c r="N270" s="102">
        <v>41026</v>
      </c>
      <c r="O270" s="102">
        <v>41045</v>
      </c>
    </row>
    <row r="271" spans="1:15">
      <c r="A271" s="99">
        <v>2012</v>
      </c>
      <c r="B271" s="100" t="s">
        <v>192</v>
      </c>
      <c r="C271" s="100" t="s">
        <v>193</v>
      </c>
      <c r="D271" s="101">
        <v>1062000</v>
      </c>
      <c r="E271" s="101">
        <v>0</v>
      </c>
      <c r="F271" s="101"/>
      <c r="G271" s="101">
        <v>51</v>
      </c>
      <c r="H271" s="101">
        <v>24</v>
      </c>
      <c r="I271" s="101" t="s">
        <v>202</v>
      </c>
      <c r="J271" s="101" t="s">
        <v>150</v>
      </c>
      <c r="K271" s="101" t="b">
        <v>1</v>
      </c>
      <c r="L271" s="97">
        <v>2016</v>
      </c>
      <c r="M271" s="98">
        <v>317694208</v>
      </c>
      <c r="N271" s="102">
        <v>41026</v>
      </c>
      <c r="O271" s="102">
        <v>41045</v>
      </c>
    </row>
    <row r="272" spans="1:15">
      <c r="A272" s="99">
        <v>2012</v>
      </c>
      <c r="B272" s="100" t="s">
        <v>192</v>
      </c>
      <c r="C272" s="100" t="s">
        <v>193</v>
      </c>
      <c r="D272" s="101">
        <v>1062000</v>
      </c>
      <c r="E272" s="101">
        <v>0</v>
      </c>
      <c r="F272" s="101"/>
      <c r="G272" s="101">
        <v>49</v>
      </c>
      <c r="H272" s="101" t="s">
        <v>148</v>
      </c>
      <c r="I272" s="101" t="s">
        <v>199</v>
      </c>
      <c r="J272" s="101" t="s">
        <v>79</v>
      </c>
      <c r="K272" s="101" t="b">
        <v>0</v>
      </c>
      <c r="L272" s="97">
        <v>2025</v>
      </c>
      <c r="M272" s="98">
        <v>550</v>
      </c>
      <c r="N272" s="102">
        <v>41026</v>
      </c>
      <c r="O272" s="102">
        <v>41045</v>
      </c>
    </row>
    <row r="273" spans="1:15">
      <c r="A273" s="99">
        <v>2012</v>
      </c>
      <c r="B273" s="100" t="s">
        <v>192</v>
      </c>
      <c r="C273" s="100" t="s">
        <v>193</v>
      </c>
      <c r="D273" s="101">
        <v>1062000</v>
      </c>
      <c r="E273" s="101">
        <v>0</v>
      </c>
      <c r="F273" s="101"/>
      <c r="G273" s="101">
        <v>27</v>
      </c>
      <c r="H273" s="101">
        <v>10</v>
      </c>
      <c r="I273" s="101"/>
      <c r="J273" s="101" t="s">
        <v>18</v>
      </c>
      <c r="K273" s="101" t="b">
        <v>0</v>
      </c>
      <c r="L273" s="97">
        <v>2024</v>
      </c>
      <c r="M273" s="98">
        <v>22114928</v>
      </c>
      <c r="N273" s="102">
        <v>41026</v>
      </c>
      <c r="O273" s="102">
        <v>41045</v>
      </c>
    </row>
    <row r="274" spans="1:15">
      <c r="A274" s="99">
        <v>2012</v>
      </c>
      <c r="B274" s="100" t="s">
        <v>192</v>
      </c>
      <c r="C274" s="100" t="s">
        <v>193</v>
      </c>
      <c r="D274" s="101">
        <v>1062000</v>
      </c>
      <c r="E274" s="101">
        <v>0</v>
      </c>
      <c r="F274" s="101"/>
      <c r="G274" s="101">
        <v>1</v>
      </c>
      <c r="H274" s="101">
        <v>1</v>
      </c>
      <c r="I274" s="101" t="s">
        <v>212</v>
      </c>
      <c r="J274" s="101" t="s">
        <v>93</v>
      </c>
      <c r="K274" s="101" t="b">
        <v>1</v>
      </c>
      <c r="L274" s="97">
        <v>2020</v>
      </c>
      <c r="M274" s="98">
        <v>378127156</v>
      </c>
      <c r="N274" s="102">
        <v>41026</v>
      </c>
      <c r="O274" s="102">
        <v>41045</v>
      </c>
    </row>
    <row r="275" spans="1:15">
      <c r="A275" s="99">
        <v>2012</v>
      </c>
      <c r="B275" s="100" t="s">
        <v>192</v>
      </c>
      <c r="C275" s="100" t="s">
        <v>193</v>
      </c>
      <c r="D275" s="101">
        <v>1062000</v>
      </c>
      <c r="E275" s="101">
        <v>0</v>
      </c>
      <c r="F275" s="101"/>
      <c r="G275" s="101">
        <v>29</v>
      </c>
      <c r="H275" s="101" t="s">
        <v>134</v>
      </c>
      <c r="I275" s="101"/>
      <c r="J275" s="101" t="s">
        <v>115</v>
      </c>
      <c r="K275" s="101" t="b">
        <v>0</v>
      </c>
      <c r="L275" s="97">
        <v>2013</v>
      </c>
      <c r="M275" s="98">
        <v>104352345.43000001</v>
      </c>
      <c r="N275" s="102">
        <v>41026</v>
      </c>
      <c r="O275" s="102">
        <v>41045</v>
      </c>
    </row>
    <row r="276" spans="1:15">
      <c r="A276" s="99">
        <v>2012</v>
      </c>
      <c r="B276" s="100" t="s">
        <v>192</v>
      </c>
      <c r="C276" s="100" t="s">
        <v>193</v>
      </c>
      <c r="D276" s="101">
        <v>1062000</v>
      </c>
      <c r="E276" s="101">
        <v>0</v>
      </c>
      <c r="F276" s="101"/>
      <c r="G276" s="101">
        <v>7</v>
      </c>
      <c r="H276" s="101">
        <v>2</v>
      </c>
      <c r="I276" s="101"/>
      <c r="J276" s="101" t="s">
        <v>3</v>
      </c>
      <c r="K276" s="101" t="b">
        <v>1</v>
      </c>
      <c r="L276" s="97">
        <v>2013</v>
      </c>
      <c r="M276" s="98">
        <v>284260800.62</v>
      </c>
      <c r="N276" s="102">
        <v>41026</v>
      </c>
      <c r="O276" s="102">
        <v>41045</v>
      </c>
    </row>
    <row r="277" spans="1:15">
      <c r="A277" s="99">
        <v>2012</v>
      </c>
      <c r="B277" s="100" t="s">
        <v>192</v>
      </c>
      <c r="C277" s="100" t="s">
        <v>193</v>
      </c>
      <c r="D277" s="101">
        <v>1062000</v>
      </c>
      <c r="E277" s="101">
        <v>0</v>
      </c>
      <c r="F277" s="101"/>
      <c r="G277" s="101">
        <v>41</v>
      </c>
      <c r="H277" s="101" t="s">
        <v>143</v>
      </c>
      <c r="I277" s="101" t="s">
        <v>211</v>
      </c>
      <c r="J277" s="101" t="s">
        <v>71</v>
      </c>
      <c r="K277" s="101" t="b">
        <v>0</v>
      </c>
      <c r="L277" s="97">
        <v>2023</v>
      </c>
      <c r="M277" s="98">
        <v>5.2999999999999999E-2</v>
      </c>
      <c r="N277" s="102">
        <v>41026</v>
      </c>
      <c r="O277" s="102">
        <v>41045</v>
      </c>
    </row>
    <row r="278" spans="1:15">
      <c r="A278" s="99">
        <v>2012</v>
      </c>
      <c r="B278" s="100" t="s">
        <v>192</v>
      </c>
      <c r="C278" s="100" t="s">
        <v>193</v>
      </c>
      <c r="D278" s="101">
        <v>1062000</v>
      </c>
      <c r="E278" s="101">
        <v>0</v>
      </c>
      <c r="F278" s="101"/>
      <c r="G278" s="101">
        <v>51</v>
      </c>
      <c r="H278" s="101">
        <v>24</v>
      </c>
      <c r="I278" s="101" t="s">
        <v>202</v>
      </c>
      <c r="J278" s="101" t="s">
        <v>150</v>
      </c>
      <c r="K278" s="101" t="b">
        <v>1</v>
      </c>
      <c r="L278" s="97">
        <v>2027</v>
      </c>
      <c r="M278" s="98">
        <v>430024345</v>
      </c>
      <c r="N278" s="102">
        <v>41026</v>
      </c>
      <c r="O278" s="102">
        <v>41045</v>
      </c>
    </row>
    <row r="279" spans="1:15">
      <c r="A279" s="99">
        <v>2012</v>
      </c>
      <c r="B279" s="100" t="s">
        <v>192</v>
      </c>
      <c r="C279" s="100" t="s">
        <v>193</v>
      </c>
      <c r="D279" s="101">
        <v>1062000</v>
      </c>
      <c r="E279" s="101">
        <v>0</v>
      </c>
      <c r="F279" s="101"/>
      <c r="G279" s="101">
        <v>49</v>
      </c>
      <c r="H279" s="101" t="s">
        <v>148</v>
      </c>
      <c r="I279" s="101" t="s">
        <v>199</v>
      </c>
      <c r="J279" s="101" t="s">
        <v>79</v>
      </c>
      <c r="K279" s="101" t="b">
        <v>0</v>
      </c>
      <c r="L279" s="97">
        <v>2022</v>
      </c>
      <c r="M279" s="98">
        <v>25</v>
      </c>
      <c r="N279" s="102">
        <v>41026</v>
      </c>
      <c r="O279" s="102">
        <v>41045</v>
      </c>
    </row>
    <row r="280" spans="1:15">
      <c r="A280" s="99">
        <v>2012</v>
      </c>
      <c r="B280" s="100" t="s">
        <v>192</v>
      </c>
      <c r="C280" s="100" t="s">
        <v>193</v>
      </c>
      <c r="D280" s="101">
        <v>1062000</v>
      </c>
      <c r="E280" s="101">
        <v>0</v>
      </c>
      <c r="F280" s="101"/>
      <c r="G280" s="101">
        <v>27</v>
      </c>
      <c r="H280" s="101">
        <v>10</v>
      </c>
      <c r="I280" s="101"/>
      <c r="J280" s="101" t="s">
        <v>18</v>
      </c>
      <c r="K280" s="101" t="b">
        <v>0</v>
      </c>
      <c r="L280" s="97">
        <v>2012</v>
      </c>
      <c r="M280" s="98">
        <v>177416177.41</v>
      </c>
      <c r="N280" s="102">
        <v>41026</v>
      </c>
      <c r="O280" s="102">
        <v>41045</v>
      </c>
    </row>
    <row r="281" spans="1:15">
      <c r="A281" s="99">
        <v>2012</v>
      </c>
      <c r="B281" s="100" t="s">
        <v>192</v>
      </c>
      <c r="C281" s="100" t="s">
        <v>193</v>
      </c>
      <c r="D281" s="101">
        <v>1062000</v>
      </c>
      <c r="E281" s="101">
        <v>0</v>
      </c>
      <c r="F281" s="101"/>
      <c r="G281" s="101">
        <v>35</v>
      </c>
      <c r="H281" s="101">
        <v>14</v>
      </c>
      <c r="I281" s="101"/>
      <c r="J281" s="101" t="s">
        <v>68</v>
      </c>
      <c r="K281" s="101" t="b">
        <v>1</v>
      </c>
      <c r="L281" s="97">
        <v>2014</v>
      </c>
      <c r="M281" s="98">
        <v>83587290.459999993</v>
      </c>
      <c r="N281" s="102">
        <v>41026</v>
      </c>
      <c r="O281" s="102">
        <v>41045</v>
      </c>
    </row>
    <row r="282" spans="1:15">
      <c r="A282" s="99">
        <v>2012</v>
      </c>
      <c r="B282" s="100" t="s">
        <v>192</v>
      </c>
      <c r="C282" s="100" t="s">
        <v>193</v>
      </c>
      <c r="D282" s="101">
        <v>1062000</v>
      </c>
      <c r="E282" s="101">
        <v>0</v>
      </c>
      <c r="F282" s="101"/>
      <c r="G282" s="101">
        <v>42</v>
      </c>
      <c r="H282" s="101">
        <v>19</v>
      </c>
      <c r="I282" s="101" t="s">
        <v>200</v>
      </c>
      <c r="J282" s="101" t="s">
        <v>72</v>
      </c>
      <c r="K282" s="101" t="b">
        <v>1</v>
      </c>
      <c r="L282" s="97">
        <v>2015</v>
      </c>
      <c r="M282" s="98">
        <v>8.4500000000000006E-2</v>
      </c>
      <c r="N282" s="102">
        <v>41026</v>
      </c>
      <c r="O282" s="102">
        <v>41045</v>
      </c>
    </row>
    <row r="283" spans="1:15">
      <c r="A283" s="99">
        <v>2012</v>
      </c>
      <c r="B283" s="100" t="s">
        <v>192</v>
      </c>
      <c r="C283" s="100" t="s">
        <v>193</v>
      </c>
      <c r="D283" s="101">
        <v>1062000</v>
      </c>
      <c r="E283" s="101">
        <v>0</v>
      </c>
      <c r="F283" s="101"/>
      <c r="G283" s="101">
        <v>4</v>
      </c>
      <c r="H283" s="101" t="s">
        <v>98</v>
      </c>
      <c r="I283" s="101"/>
      <c r="J283" s="101" t="s">
        <v>99</v>
      </c>
      <c r="K283" s="101" t="b">
        <v>1</v>
      </c>
      <c r="L283" s="97">
        <v>2027</v>
      </c>
      <c r="M283" s="98">
        <v>500000</v>
      </c>
      <c r="N283" s="102">
        <v>41026</v>
      </c>
      <c r="O283" s="102">
        <v>41045</v>
      </c>
    </row>
    <row r="284" spans="1:15">
      <c r="A284" s="99">
        <v>2012</v>
      </c>
      <c r="B284" s="100" t="s">
        <v>192</v>
      </c>
      <c r="C284" s="100" t="s">
        <v>193</v>
      </c>
      <c r="D284" s="101">
        <v>1062000</v>
      </c>
      <c r="E284" s="101">
        <v>0</v>
      </c>
      <c r="F284" s="101"/>
      <c r="G284" s="101">
        <v>57</v>
      </c>
      <c r="H284" s="101">
        <v>30</v>
      </c>
      <c r="I284" s="101" t="s">
        <v>209</v>
      </c>
      <c r="J284" s="101" t="s">
        <v>153</v>
      </c>
      <c r="K284" s="101" t="b">
        <v>0</v>
      </c>
      <c r="L284" s="97">
        <v>2026</v>
      </c>
      <c r="M284" s="98">
        <v>3625279</v>
      </c>
      <c r="N284" s="102">
        <v>41026</v>
      </c>
      <c r="O284" s="102">
        <v>41045</v>
      </c>
    </row>
    <row r="285" spans="1:15">
      <c r="A285" s="99">
        <v>2012</v>
      </c>
      <c r="B285" s="100" t="s">
        <v>192</v>
      </c>
      <c r="C285" s="100" t="s">
        <v>193</v>
      </c>
      <c r="D285" s="101">
        <v>1062000</v>
      </c>
      <c r="E285" s="101">
        <v>0</v>
      </c>
      <c r="F285" s="101"/>
      <c r="G285" s="101">
        <v>55</v>
      </c>
      <c r="H285" s="101">
        <v>28</v>
      </c>
      <c r="I285" s="101" t="s">
        <v>205</v>
      </c>
      <c r="J285" s="101" t="s">
        <v>48</v>
      </c>
      <c r="K285" s="101" t="b">
        <v>0</v>
      </c>
      <c r="L285" s="97">
        <v>2018</v>
      </c>
      <c r="M285" s="98">
        <v>17110112</v>
      </c>
      <c r="N285" s="102">
        <v>41026</v>
      </c>
      <c r="O285" s="102">
        <v>41045</v>
      </c>
    </row>
    <row r="286" spans="1:15">
      <c r="A286" s="99">
        <v>2012</v>
      </c>
      <c r="B286" s="100" t="s">
        <v>192</v>
      </c>
      <c r="C286" s="100" t="s">
        <v>193</v>
      </c>
      <c r="D286" s="101">
        <v>1062000</v>
      </c>
      <c r="E286" s="101">
        <v>0</v>
      </c>
      <c r="F286" s="101"/>
      <c r="G286" s="101">
        <v>33</v>
      </c>
      <c r="H286" s="101">
        <v>13</v>
      </c>
      <c r="I286" s="101"/>
      <c r="J286" s="101" t="s">
        <v>66</v>
      </c>
      <c r="K286" s="101" t="b">
        <v>1</v>
      </c>
      <c r="L286" s="97">
        <v>2022</v>
      </c>
      <c r="M286" s="98">
        <v>36461107.369999997</v>
      </c>
      <c r="N286" s="102">
        <v>41026</v>
      </c>
      <c r="O286" s="102">
        <v>41045</v>
      </c>
    </row>
    <row r="287" spans="1:15">
      <c r="A287" s="99">
        <v>2012</v>
      </c>
      <c r="B287" s="100" t="s">
        <v>192</v>
      </c>
      <c r="C287" s="100" t="s">
        <v>193</v>
      </c>
      <c r="D287" s="101">
        <v>1062000</v>
      </c>
      <c r="E287" s="101">
        <v>0</v>
      </c>
      <c r="F287" s="101"/>
      <c r="G287" s="101">
        <v>14</v>
      </c>
      <c r="H287" s="101">
        <v>3</v>
      </c>
      <c r="I287" s="101" t="s">
        <v>195</v>
      </c>
      <c r="J287" s="101" t="s">
        <v>116</v>
      </c>
      <c r="K287" s="101" t="b">
        <v>1</v>
      </c>
      <c r="L287" s="97">
        <v>2021</v>
      </c>
      <c r="M287" s="98">
        <v>27197893</v>
      </c>
      <c r="N287" s="102">
        <v>41026</v>
      </c>
      <c r="O287" s="102">
        <v>41045</v>
      </c>
    </row>
    <row r="288" spans="1:15">
      <c r="A288" s="99">
        <v>2012</v>
      </c>
      <c r="B288" s="100" t="s">
        <v>192</v>
      </c>
      <c r="C288" s="100" t="s">
        <v>193</v>
      </c>
      <c r="D288" s="101">
        <v>1062000</v>
      </c>
      <c r="E288" s="101">
        <v>0</v>
      </c>
      <c r="F288" s="101"/>
      <c r="G288" s="101">
        <v>51</v>
      </c>
      <c r="H288" s="101">
        <v>24</v>
      </c>
      <c r="I288" s="101" t="s">
        <v>202</v>
      </c>
      <c r="J288" s="101" t="s">
        <v>150</v>
      </c>
      <c r="K288" s="101" t="b">
        <v>1</v>
      </c>
      <c r="L288" s="97">
        <v>2017</v>
      </c>
      <c r="M288" s="98">
        <v>328366220</v>
      </c>
      <c r="N288" s="102">
        <v>41026</v>
      </c>
      <c r="O288" s="102">
        <v>41045</v>
      </c>
    </row>
    <row r="289" spans="1:15">
      <c r="A289" s="99">
        <v>2012</v>
      </c>
      <c r="B289" s="100" t="s">
        <v>192</v>
      </c>
      <c r="C289" s="100" t="s">
        <v>193</v>
      </c>
      <c r="D289" s="101">
        <v>1062000</v>
      </c>
      <c r="E289" s="101">
        <v>0</v>
      </c>
      <c r="F289" s="101"/>
      <c r="G289" s="101">
        <v>23</v>
      </c>
      <c r="H289" s="101" t="s">
        <v>126</v>
      </c>
      <c r="I289" s="101"/>
      <c r="J289" s="101" t="s">
        <v>127</v>
      </c>
      <c r="K289" s="101" t="b">
        <v>1</v>
      </c>
      <c r="L289" s="97">
        <v>2025</v>
      </c>
      <c r="M289" s="98">
        <v>90632</v>
      </c>
      <c r="N289" s="102">
        <v>41026</v>
      </c>
      <c r="O289" s="102">
        <v>41045</v>
      </c>
    </row>
    <row r="290" spans="1:15">
      <c r="A290" s="99">
        <v>2012</v>
      </c>
      <c r="B290" s="100" t="s">
        <v>192</v>
      </c>
      <c r="C290" s="100" t="s">
        <v>193</v>
      </c>
      <c r="D290" s="101">
        <v>1062000</v>
      </c>
      <c r="E290" s="101">
        <v>0</v>
      </c>
      <c r="F290" s="101"/>
      <c r="G290" s="101">
        <v>26</v>
      </c>
      <c r="H290" s="101">
        <v>9</v>
      </c>
      <c r="I290" s="101" t="s">
        <v>204</v>
      </c>
      <c r="J290" s="101" t="s">
        <v>131</v>
      </c>
      <c r="K290" s="101" t="b">
        <v>0</v>
      </c>
      <c r="L290" s="97">
        <v>2027</v>
      </c>
      <c r="M290" s="98">
        <v>24519840</v>
      </c>
      <c r="N290" s="102">
        <v>41026</v>
      </c>
      <c r="O290" s="102">
        <v>41045</v>
      </c>
    </row>
    <row r="291" spans="1:15">
      <c r="A291" s="99">
        <v>2012</v>
      </c>
      <c r="B291" s="100" t="s">
        <v>192</v>
      </c>
      <c r="C291" s="100" t="s">
        <v>193</v>
      </c>
      <c r="D291" s="101">
        <v>1062000</v>
      </c>
      <c r="E291" s="101">
        <v>0</v>
      </c>
      <c r="F291" s="101"/>
      <c r="G291" s="101">
        <v>22</v>
      </c>
      <c r="H291" s="101" t="s">
        <v>124</v>
      </c>
      <c r="I291" s="101"/>
      <c r="J291" s="101" t="s">
        <v>125</v>
      </c>
      <c r="K291" s="101" t="b">
        <v>1</v>
      </c>
      <c r="L291" s="97">
        <v>2013</v>
      </c>
      <c r="M291" s="98">
        <v>966894.22</v>
      </c>
      <c r="N291" s="102">
        <v>41026</v>
      </c>
      <c r="O291" s="102">
        <v>41045</v>
      </c>
    </row>
    <row r="292" spans="1:15">
      <c r="A292" s="99">
        <v>2012</v>
      </c>
      <c r="B292" s="100" t="s">
        <v>192</v>
      </c>
      <c r="C292" s="100" t="s">
        <v>193</v>
      </c>
      <c r="D292" s="101">
        <v>1062000</v>
      </c>
      <c r="E292" s="101">
        <v>0</v>
      </c>
      <c r="F292" s="101"/>
      <c r="G292" s="101">
        <v>7</v>
      </c>
      <c r="H292" s="101">
        <v>2</v>
      </c>
      <c r="I292" s="101"/>
      <c r="J292" s="101" t="s">
        <v>3</v>
      </c>
      <c r="K292" s="101" t="b">
        <v>1</v>
      </c>
      <c r="L292" s="97">
        <v>2029</v>
      </c>
      <c r="M292" s="98">
        <v>456155137</v>
      </c>
      <c r="N292" s="102">
        <v>41026</v>
      </c>
      <c r="O292" s="102">
        <v>41045</v>
      </c>
    </row>
    <row r="293" spans="1:15">
      <c r="A293" s="99">
        <v>2012</v>
      </c>
      <c r="B293" s="100" t="s">
        <v>192</v>
      </c>
      <c r="C293" s="100" t="s">
        <v>193</v>
      </c>
      <c r="D293" s="101">
        <v>1062000</v>
      </c>
      <c r="E293" s="101">
        <v>0</v>
      </c>
      <c r="F293" s="101"/>
      <c r="G293" s="101">
        <v>41</v>
      </c>
      <c r="H293" s="101" t="s">
        <v>143</v>
      </c>
      <c r="I293" s="101" t="s">
        <v>211</v>
      </c>
      <c r="J293" s="101" t="s">
        <v>71</v>
      </c>
      <c r="K293" s="101" t="b">
        <v>0</v>
      </c>
      <c r="L293" s="97">
        <v>2015</v>
      </c>
      <c r="M293" s="98">
        <v>0.50419999999999998</v>
      </c>
      <c r="N293" s="102">
        <v>41026</v>
      </c>
      <c r="O293" s="102">
        <v>41045</v>
      </c>
    </row>
    <row r="294" spans="1:15">
      <c r="A294" s="99">
        <v>2012</v>
      </c>
      <c r="B294" s="100" t="s">
        <v>192</v>
      </c>
      <c r="C294" s="100" t="s">
        <v>193</v>
      </c>
      <c r="D294" s="101">
        <v>1062000</v>
      </c>
      <c r="E294" s="101">
        <v>0</v>
      </c>
      <c r="F294" s="101"/>
      <c r="G294" s="101">
        <v>50</v>
      </c>
      <c r="H294" s="101">
        <v>23</v>
      </c>
      <c r="I294" s="101" t="s">
        <v>197</v>
      </c>
      <c r="J294" s="101" t="s">
        <v>149</v>
      </c>
      <c r="K294" s="101" t="b">
        <v>1</v>
      </c>
      <c r="L294" s="97">
        <v>2020</v>
      </c>
      <c r="M294" s="98">
        <v>372127156</v>
      </c>
      <c r="N294" s="102">
        <v>41026</v>
      </c>
      <c r="O294" s="102">
        <v>41045</v>
      </c>
    </row>
    <row r="295" spans="1:15">
      <c r="A295" s="99">
        <v>2012</v>
      </c>
      <c r="B295" s="100" t="s">
        <v>192</v>
      </c>
      <c r="C295" s="100" t="s">
        <v>193</v>
      </c>
      <c r="D295" s="101">
        <v>1062000</v>
      </c>
      <c r="E295" s="101">
        <v>0</v>
      </c>
      <c r="F295" s="101"/>
      <c r="G295" s="101">
        <v>8</v>
      </c>
      <c r="H295" s="101" t="s">
        <v>104</v>
      </c>
      <c r="I295" s="101"/>
      <c r="J295" s="101" t="s">
        <v>105</v>
      </c>
      <c r="K295" s="101" t="b">
        <v>0</v>
      </c>
      <c r="L295" s="97">
        <v>2029</v>
      </c>
      <c r="M295" s="98">
        <v>177744729</v>
      </c>
      <c r="N295" s="102">
        <v>41026</v>
      </c>
      <c r="O295" s="102">
        <v>41045</v>
      </c>
    </row>
    <row r="296" spans="1:15">
      <c r="A296" s="99">
        <v>2012</v>
      </c>
      <c r="B296" s="100" t="s">
        <v>192</v>
      </c>
      <c r="C296" s="100" t="s">
        <v>193</v>
      </c>
      <c r="D296" s="101">
        <v>1062000</v>
      </c>
      <c r="E296" s="101">
        <v>0</v>
      </c>
      <c r="F296" s="101"/>
      <c r="G296" s="101">
        <v>33</v>
      </c>
      <c r="H296" s="101">
        <v>13</v>
      </c>
      <c r="I296" s="101"/>
      <c r="J296" s="101" t="s">
        <v>66</v>
      </c>
      <c r="K296" s="101" t="b">
        <v>1</v>
      </c>
      <c r="L296" s="97">
        <v>2012</v>
      </c>
      <c r="M296" s="98">
        <v>156274133.18000001</v>
      </c>
      <c r="N296" s="102">
        <v>41026</v>
      </c>
      <c r="O296" s="102">
        <v>41045</v>
      </c>
    </row>
    <row r="297" spans="1:15">
      <c r="A297" s="99">
        <v>2012</v>
      </c>
      <c r="B297" s="100" t="s">
        <v>192</v>
      </c>
      <c r="C297" s="100" t="s">
        <v>193</v>
      </c>
      <c r="D297" s="101">
        <v>1062000</v>
      </c>
      <c r="E297" s="101">
        <v>0</v>
      </c>
      <c r="F297" s="101"/>
      <c r="G297" s="101">
        <v>4</v>
      </c>
      <c r="H297" s="101" t="s">
        <v>98</v>
      </c>
      <c r="I297" s="101"/>
      <c r="J297" s="101" t="s">
        <v>99</v>
      </c>
      <c r="K297" s="101" t="b">
        <v>1</v>
      </c>
      <c r="L297" s="97">
        <v>2016</v>
      </c>
      <c r="M297" s="98">
        <v>11300000</v>
      </c>
      <c r="N297" s="102">
        <v>41026</v>
      </c>
      <c r="O297" s="102">
        <v>41045</v>
      </c>
    </row>
    <row r="298" spans="1:15">
      <c r="A298" s="99">
        <v>2012</v>
      </c>
      <c r="B298" s="100" t="s">
        <v>192</v>
      </c>
      <c r="C298" s="100" t="s">
        <v>193</v>
      </c>
      <c r="D298" s="101">
        <v>1062000</v>
      </c>
      <c r="E298" s="101">
        <v>0</v>
      </c>
      <c r="F298" s="101"/>
      <c r="G298" s="101">
        <v>21</v>
      </c>
      <c r="H298" s="101" t="s">
        <v>122</v>
      </c>
      <c r="I298" s="101"/>
      <c r="J298" s="101" t="s">
        <v>123</v>
      </c>
      <c r="K298" s="101" t="b">
        <v>1</v>
      </c>
      <c r="L298" s="97">
        <v>2018</v>
      </c>
      <c r="M298" s="98">
        <v>17110112</v>
      </c>
      <c r="N298" s="102">
        <v>41026</v>
      </c>
      <c r="O298" s="102">
        <v>41045</v>
      </c>
    </row>
    <row r="299" spans="1:15">
      <c r="A299" s="99">
        <v>2012</v>
      </c>
      <c r="B299" s="100" t="s">
        <v>192</v>
      </c>
      <c r="C299" s="100" t="s">
        <v>193</v>
      </c>
      <c r="D299" s="101">
        <v>1062000</v>
      </c>
      <c r="E299" s="101">
        <v>0</v>
      </c>
      <c r="F299" s="101"/>
      <c r="G299" s="101">
        <v>1</v>
      </c>
      <c r="H299" s="101">
        <v>1</v>
      </c>
      <c r="I299" s="101" t="s">
        <v>212</v>
      </c>
      <c r="J299" s="101" t="s">
        <v>93</v>
      </c>
      <c r="K299" s="101" t="b">
        <v>1</v>
      </c>
      <c r="L299" s="97">
        <v>2026</v>
      </c>
      <c r="M299" s="98">
        <v>444839286</v>
      </c>
      <c r="N299" s="102">
        <v>41026</v>
      </c>
      <c r="O299" s="102">
        <v>41045</v>
      </c>
    </row>
    <row r="300" spans="1:15">
      <c r="A300" s="99">
        <v>2012</v>
      </c>
      <c r="B300" s="100" t="s">
        <v>192</v>
      </c>
      <c r="C300" s="100" t="s">
        <v>193</v>
      </c>
      <c r="D300" s="101">
        <v>1062000</v>
      </c>
      <c r="E300" s="101">
        <v>0</v>
      </c>
      <c r="F300" s="101"/>
      <c r="G300" s="101">
        <v>52</v>
      </c>
      <c r="H300" s="101">
        <v>25</v>
      </c>
      <c r="I300" s="101" t="s">
        <v>214</v>
      </c>
      <c r="J300" s="101" t="s">
        <v>49</v>
      </c>
      <c r="K300" s="101" t="b">
        <v>1</v>
      </c>
      <c r="L300" s="97">
        <v>2018</v>
      </c>
      <c r="M300" s="98">
        <v>15596351</v>
      </c>
      <c r="N300" s="102">
        <v>41026</v>
      </c>
      <c r="O300" s="102">
        <v>41045</v>
      </c>
    </row>
    <row r="301" spans="1:15">
      <c r="A301" s="99">
        <v>2012</v>
      </c>
      <c r="B301" s="100" t="s">
        <v>192</v>
      </c>
      <c r="C301" s="100" t="s">
        <v>193</v>
      </c>
      <c r="D301" s="101">
        <v>1062000</v>
      </c>
      <c r="E301" s="101">
        <v>0</v>
      </c>
      <c r="F301" s="101"/>
      <c r="G301" s="101">
        <v>48</v>
      </c>
      <c r="H301" s="101">
        <v>22</v>
      </c>
      <c r="I301" s="101" t="s">
        <v>196</v>
      </c>
      <c r="J301" s="101" t="s">
        <v>77</v>
      </c>
      <c r="K301" s="101" t="b">
        <v>0</v>
      </c>
      <c r="L301" s="97">
        <v>2017</v>
      </c>
      <c r="M301" s="98">
        <v>6.8500000000000005E-2</v>
      </c>
      <c r="N301" s="102">
        <v>41026</v>
      </c>
      <c r="O301" s="102">
        <v>41045</v>
      </c>
    </row>
    <row r="302" spans="1:15">
      <c r="A302" s="99">
        <v>2012</v>
      </c>
      <c r="B302" s="100" t="s">
        <v>192</v>
      </c>
      <c r="C302" s="100" t="s">
        <v>193</v>
      </c>
      <c r="D302" s="101">
        <v>1062000</v>
      </c>
      <c r="E302" s="101">
        <v>0</v>
      </c>
      <c r="F302" s="101"/>
      <c r="G302" s="101">
        <v>51</v>
      </c>
      <c r="H302" s="101">
        <v>24</v>
      </c>
      <c r="I302" s="101" t="s">
        <v>202</v>
      </c>
      <c r="J302" s="101" t="s">
        <v>150</v>
      </c>
      <c r="K302" s="101" t="b">
        <v>1</v>
      </c>
      <c r="L302" s="97">
        <v>2020</v>
      </c>
      <c r="M302" s="98">
        <v>353533890</v>
      </c>
      <c r="N302" s="102">
        <v>41026</v>
      </c>
      <c r="O302" s="102">
        <v>41045</v>
      </c>
    </row>
    <row r="303" spans="1:15">
      <c r="A303" s="99">
        <v>2012</v>
      </c>
      <c r="B303" s="100" t="s">
        <v>192</v>
      </c>
      <c r="C303" s="100" t="s">
        <v>193</v>
      </c>
      <c r="D303" s="101">
        <v>1062000</v>
      </c>
      <c r="E303" s="101">
        <v>0</v>
      </c>
      <c r="F303" s="101"/>
      <c r="G303" s="101">
        <v>23</v>
      </c>
      <c r="H303" s="101" t="s">
        <v>126</v>
      </c>
      <c r="I303" s="101"/>
      <c r="J303" s="101" t="s">
        <v>127</v>
      </c>
      <c r="K303" s="101" t="b">
        <v>1</v>
      </c>
      <c r="L303" s="97">
        <v>2029</v>
      </c>
      <c r="M303" s="98">
        <v>36253</v>
      </c>
      <c r="N303" s="102">
        <v>41026</v>
      </c>
      <c r="O303" s="102">
        <v>41045</v>
      </c>
    </row>
    <row r="304" spans="1:15">
      <c r="A304" s="99">
        <v>2012</v>
      </c>
      <c r="B304" s="100" t="s">
        <v>192</v>
      </c>
      <c r="C304" s="100" t="s">
        <v>193</v>
      </c>
      <c r="D304" s="101">
        <v>1062000</v>
      </c>
      <c r="E304" s="101">
        <v>0</v>
      </c>
      <c r="F304" s="101"/>
      <c r="G304" s="101">
        <v>14</v>
      </c>
      <c r="H304" s="101">
        <v>3</v>
      </c>
      <c r="I304" s="101" t="s">
        <v>195</v>
      </c>
      <c r="J304" s="101" t="s">
        <v>116</v>
      </c>
      <c r="K304" s="101" t="b">
        <v>1</v>
      </c>
      <c r="L304" s="97">
        <v>2026</v>
      </c>
      <c r="M304" s="98">
        <v>27392717</v>
      </c>
      <c r="N304" s="102">
        <v>41026</v>
      </c>
      <c r="O304" s="102">
        <v>41045</v>
      </c>
    </row>
    <row r="305" spans="1:15">
      <c r="A305" s="99">
        <v>2012</v>
      </c>
      <c r="B305" s="100" t="s">
        <v>192</v>
      </c>
      <c r="C305" s="100" t="s">
        <v>193</v>
      </c>
      <c r="D305" s="101">
        <v>1062000</v>
      </c>
      <c r="E305" s="101">
        <v>0</v>
      </c>
      <c r="F305" s="101"/>
      <c r="G305" s="101">
        <v>12</v>
      </c>
      <c r="H305" s="101" t="s">
        <v>112</v>
      </c>
      <c r="I305" s="101"/>
      <c r="J305" s="101" t="s">
        <v>113</v>
      </c>
      <c r="K305" s="101" t="b">
        <v>0</v>
      </c>
      <c r="L305" s="97">
        <v>2029</v>
      </c>
      <c r="M305" s="98">
        <v>28419.4</v>
      </c>
      <c r="N305" s="102">
        <v>41026</v>
      </c>
      <c r="O305" s="102">
        <v>41045</v>
      </c>
    </row>
    <row r="306" spans="1:15">
      <c r="A306" s="99">
        <v>2012</v>
      </c>
      <c r="B306" s="100" t="s">
        <v>192</v>
      </c>
      <c r="C306" s="100" t="s">
        <v>193</v>
      </c>
      <c r="D306" s="101">
        <v>1062000</v>
      </c>
      <c r="E306" s="101">
        <v>0</v>
      </c>
      <c r="F306" s="101"/>
      <c r="G306" s="101">
        <v>1</v>
      </c>
      <c r="H306" s="101">
        <v>1</v>
      </c>
      <c r="I306" s="101" t="s">
        <v>212</v>
      </c>
      <c r="J306" s="101" t="s">
        <v>93</v>
      </c>
      <c r="K306" s="101" t="b">
        <v>1</v>
      </c>
      <c r="L306" s="97">
        <v>2028</v>
      </c>
      <c r="M306" s="98">
        <v>471899548</v>
      </c>
      <c r="N306" s="102">
        <v>41026</v>
      </c>
      <c r="O306" s="102">
        <v>41045</v>
      </c>
    </row>
    <row r="307" spans="1:15">
      <c r="A307" s="99">
        <v>2012</v>
      </c>
      <c r="B307" s="100" t="s">
        <v>192</v>
      </c>
      <c r="C307" s="100" t="s">
        <v>193</v>
      </c>
      <c r="D307" s="101">
        <v>1062000</v>
      </c>
      <c r="E307" s="101">
        <v>0</v>
      </c>
      <c r="F307" s="101"/>
      <c r="G307" s="101">
        <v>50</v>
      </c>
      <c r="H307" s="101">
        <v>23</v>
      </c>
      <c r="I307" s="101" t="s">
        <v>197</v>
      </c>
      <c r="J307" s="101" t="s">
        <v>149</v>
      </c>
      <c r="K307" s="101" t="b">
        <v>1</v>
      </c>
      <c r="L307" s="97">
        <v>2021</v>
      </c>
      <c r="M307" s="98">
        <v>383290971</v>
      </c>
      <c r="N307" s="102">
        <v>41026</v>
      </c>
      <c r="O307" s="102">
        <v>41045</v>
      </c>
    </row>
    <row r="308" spans="1:15">
      <c r="A308" s="99">
        <v>2012</v>
      </c>
      <c r="B308" s="100" t="s">
        <v>192</v>
      </c>
      <c r="C308" s="100" t="s">
        <v>193</v>
      </c>
      <c r="D308" s="101">
        <v>1062000</v>
      </c>
      <c r="E308" s="101">
        <v>0</v>
      </c>
      <c r="F308" s="101"/>
      <c r="G308" s="101">
        <v>9</v>
      </c>
      <c r="H308" s="101" t="s">
        <v>106</v>
      </c>
      <c r="I308" s="101"/>
      <c r="J308" s="101" t="s">
        <v>107</v>
      </c>
      <c r="K308" s="101" t="b">
        <v>0</v>
      </c>
      <c r="L308" s="97">
        <v>2014</v>
      </c>
      <c r="M308" s="98">
        <v>19817338</v>
      </c>
      <c r="N308" s="102">
        <v>41026</v>
      </c>
      <c r="O308" s="102">
        <v>41045</v>
      </c>
    </row>
    <row r="309" spans="1:15">
      <c r="A309" s="99">
        <v>2012</v>
      </c>
      <c r="B309" s="100" t="s">
        <v>192</v>
      </c>
      <c r="C309" s="100" t="s">
        <v>193</v>
      </c>
      <c r="D309" s="101">
        <v>1062000</v>
      </c>
      <c r="E309" s="101">
        <v>0</v>
      </c>
      <c r="F309" s="101"/>
      <c r="G309" s="101">
        <v>54</v>
      </c>
      <c r="H309" s="101">
        <v>27</v>
      </c>
      <c r="I309" s="101" t="s">
        <v>213</v>
      </c>
      <c r="J309" s="101" t="s">
        <v>46</v>
      </c>
      <c r="K309" s="101" t="b">
        <v>0</v>
      </c>
      <c r="L309" s="97">
        <v>2018</v>
      </c>
      <c r="M309" s="98">
        <v>343655423</v>
      </c>
      <c r="N309" s="102">
        <v>41026</v>
      </c>
      <c r="O309" s="102">
        <v>41045</v>
      </c>
    </row>
    <row r="310" spans="1:15">
      <c r="A310" s="99">
        <v>2012</v>
      </c>
      <c r="B310" s="100" t="s">
        <v>192</v>
      </c>
      <c r="C310" s="100" t="s">
        <v>193</v>
      </c>
      <c r="D310" s="101">
        <v>1062000</v>
      </c>
      <c r="E310" s="101">
        <v>0</v>
      </c>
      <c r="F310" s="101"/>
      <c r="G310" s="101">
        <v>37</v>
      </c>
      <c r="H310" s="101">
        <v>16</v>
      </c>
      <c r="I310" s="101"/>
      <c r="J310" s="101" t="s">
        <v>140</v>
      </c>
      <c r="K310" s="101" t="b">
        <v>1</v>
      </c>
      <c r="L310" s="97">
        <v>2015</v>
      </c>
      <c r="M310" s="98">
        <v>20744409</v>
      </c>
      <c r="N310" s="102">
        <v>41026</v>
      </c>
      <c r="O310" s="102">
        <v>41045</v>
      </c>
    </row>
    <row r="311" spans="1:15">
      <c r="A311" s="99">
        <v>2012</v>
      </c>
      <c r="B311" s="100" t="s">
        <v>192</v>
      </c>
      <c r="C311" s="100" t="s">
        <v>193</v>
      </c>
      <c r="D311" s="101">
        <v>1062000</v>
      </c>
      <c r="E311" s="101">
        <v>0</v>
      </c>
      <c r="F311" s="101"/>
      <c r="G311" s="101">
        <v>19</v>
      </c>
      <c r="H311" s="101">
        <v>6</v>
      </c>
      <c r="I311" s="101" t="s">
        <v>198</v>
      </c>
      <c r="J311" s="101" t="s">
        <v>121</v>
      </c>
      <c r="K311" s="101" t="b">
        <v>0</v>
      </c>
      <c r="L311" s="97">
        <v>2025</v>
      </c>
      <c r="M311" s="98">
        <v>26609434</v>
      </c>
      <c r="N311" s="102">
        <v>41026</v>
      </c>
      <c r="O311" s="102">
        <v>41045</v>
      </c>
    </row>
    <row r="312" spans="1:15">
      <c r="A312" s="99">
        <v>2012</v>
      </c>
      <c r="B312" s="100" t="s">
        <v>192</v>
      </c>
      <c r="C312" s="100" t="s">
        <v>193</v>
      </c>
      <c r="D312" s="101">
        <v>1062000</v>
      </c>
      <c r="E312" s="101">
        <v>0</v>
      </c>
      <c r="F312" s="101"/>
      <c r="G312" s="101">
        <v>40</v>
      </c>
      <c r="H312" s="101">
        <v>18</v>
      </c>
      <c r="I312" s="101" t="s">
        <v>194</v>
      </c>
      <c r="J312" s="101" t="s">
        <v>69</v>
      </c>
      <c r="K312" s="101" t="b">
        <v>0</v>
      </c>
      <c r="L312" s="97">
        <v>2012</v>
      </c>
      <c r="M312" s="98">
        <v>0.38640000000000002</v>
      </c>
      <c r="N312" s="102">
        <v>41026</v>
      </c>
      <c r="O312" s="102">
        <v>41045</v>
      </c>
    </row>
    <row r="313" spans="1:15">
      <c r="A313" s="99">
        <v>2012</v>
      </c>
      <c r="B313" s="100" t="s">
        <v>192</v>
      </c>
      <c r="C313" s="100" t="s">
        <v>193</v>
      </c>
      <c r="D313" s="101">
        <v>1062000</v>
      </c>
      <c r="E313" s="101">
        <v>0</v>
      </c>
      <c r="F313" s="101"/>
      <c r="G313" s="101">
        <v>5</v>
      </c>
      <c r="H313" s="101" t="s">
        <v>100</v>
      </c>
      <c r="I313" s="101"/>
      <c r="J313" s="101" t="s">
        <v>101</v>
      </c>
      <c r="K313" s="101" t="b">
        <v>1</v>
      </c>
      <c r="L313" s="97">
        <v>2013</v>
      </c>
      <c r="M313" s="98">
        <v>4200000</v>
      </c>
      <c r="N313" s="102">
        <v>41026</v>
      </c>
      <c r="O313" s="102">
        <v>41045</v>
      </c>
    </row>
    <row r="314" spans="1:15">
      <c r="A314" s="99">
        <v>2012</v>
      </c>
      <c r="B314" s="100" t="s">
        <v>192</v>
      </c>
      <c r="C314" s="100" t="s">
        <v>193</v>
      </c>
      <c r="D314" s="101">
        <v>1062000</v>
      </c>
      <c r="E314" s="101">
        <v>0</v>
      </c>
      <c r="F314" s="101"/>
      <c r="G314" s="101">
        <v>40</v>
      </c>
      <c r="H314" s="101">
        <v>18</v>
      </c>
      <c r="I314" s="101" t="s">
        <v>194</v>
      </c>
      <c r="J314" s="101" t="s">
        <v>69</v>
      </c>
      <c r="K314" s="101" t="b">
        <v>0</v>
      </c>
      <c r="L314" s="97">
        <v>2014</v>
      </c>
      <c r="M314" s="98">
        <v>0.59219999999999995</v>
      </c>
      <c r="N314" s="102">
        <v>41026</v>
      </c>
      <c r="O314" s="102">
        <v>41045</v>
      </c>
    </row>
    <row r="315" spans="1:15">
      <c r="A315" s="99">
        <v>2012</v>
      </c>
      <c r="B315" s="100" t="s">
        <v>192</v>
      </c>
      <c r="C315" s="100" t="s">
        <v>193</v>
      </c>
      <c r="D315" s="101">
        <v>1062000</v>
      </c>
      <c r="E315" s="101">
        <v>0</v>
      </c>
      <c r="F315" s="101"/>
      <c r="G315" s="101">
        <v>55</v>
      </c>
      <c r="H315" s="101">
        <v>28</v>
      </c>
      <c r="I315" s="101" t="s">
        <v>205</v>
      </c>
      <c r="J315" s="101" t="s">
        <v>48</v>
      </c>
      <c r="K315" s="101" t="b">
        <v>0</v>
      </c>
      <c r="L315" s="97">
        <v>2022</v>
      </c>
      <c r="M315" s="98">
        <v>22649236</v>
      </c>
      <c r="N315" s="102">
        <v>41026</v>
      </c>
      <c r="O315" s="102">
        <v>41045</v>
      </c>
    </row>
    <row r="316" spans="1:15">
      <c r="A316" s="99">
        <v>2012</v>
      </c>
      <c r="B316" s="100" t="s">
        <v>192</v>
      </c>
      <c r="C316" s="100" t="s">
        <v>193</v>
      </c>
      <c r="D316" s="101">
        <v>1062000</v>
      </c>
      <c r="E316" s="101">
        <v>0</v>
      </c>
      <c r="F316" s="101"/>
      <c r="G316" s="101">
        <v>2</v>
      </c>
      <c r="H316" s="101" t="s">
        <v>94</v>
      </c>
      <c r="I316" s="101"/>
      <c r="J316" s="101" t="s">
        <v>95</v>
      </c>
      <c r="K316" s="101" t="b">
        <v>1</v>
      </c>
      <c r="L316" s="97">
        <v>2013</v>
      </c>
      <c r="M316" s="98">
        <v>324141487.97000003</v>
      </c>
      <c r="N316" s="102">
        <v>41026</v>
      </c>
      <c r="O316" s="102">
        <v>41045</v>
      </c>
    </row>
    <row r="317" spans="1:15">
      <c r="A317" s="99">
        <v>2012</v>
      </c>
      <c r="B317" s="100" t="s">
        <v>192</v>
      </c>
      <c r="C317" s="100" t="s">
        <v>193</v>
      </c>
      <c r="D317" s="101">
        <v>1062000</v>
      </c>
      <c r="E317" s="101">
        <v>0</v>
      </c>
      <c r="F317" s="101"/>
      <c r="G317" s="101">
        <v>52</v>
      </c>
      <c r="H317" s="101">
        <v>25</v>
      </c>
      <c r="I317" s="101" t="s">
        <v>214</v>
      </c>
      <c r="J317" s="101" t="s">
        <v>49</v>
      </c>
      <c r="K317" s="101" t="b">
        <v>1</v>
      </c>
      <c r="L317" s="97">
        <v>2017</v>
      </c>
      <c r="M317" s="98">
        <v>12182843</v>
      </c>
      <c r="N317" s="102">
        <v>41026</v>
      </c>
      <c r="O317" s="102">
        <v>41045</v>
      </c>
    </row>
    <row r="318" spans="1:15">
      <c r="A318" s="99">
        <v>2012</v>
      </c>
      <c r="B318" s="100" t="s">
        <v>192</v>
      </c>
      <c r="C318" s="100" t="s">
        <v>193</v>
      </c>
      <c r="D318" s="101">
        <v>1062000</v>
      </c>
      <c r="E318" s="101">
        <v>0</v>
      </c>
      <c r="F318" s="101"/>
      <c r="G318" s="101">
        <v>5</v>
      </c>
      <c r="H318" s="101" t="s">
        <v>100</v>
      </c>
      <c r="I318" s="101"/>
      <c r="J318" s="101" t="s">
        <v>101</v>
      </c>
      <c r="K318" s="101" t="b">
        <v>1</v>
      </c>
      <c r="L318" s="97">
        <v>2012</v>
      </c>
      <c r="M318" s="98">
        <v>5006900</v>
      </c>
      <c r="N318" s="102">
        <v>41026</v>
      </c>
      <c r="O318" s="102">
        <v>41045</v>
      </c>
    </row>
    <row r="319" spans="1:15">
      <c r="A319" s="99">
        <v>2012</v>
      </c>
      <c r="B319" s="100" t="s">
        <v>192</v>
      </c>
      <c r="C319" s="100" t="s">
        <v>193</v>
      </c>
      <c r="D319" s="101">
        <v>1062000</v>
      </c>
      <c r="E319" s="101">
        <v>0</v>
      </c>
      <c r="F319" s="101"/>
      <c r="G319" s="101">
        <v>53</v>
      </c>
      <c r="H319" s="101">
        <v>26</v>
      </c>
      <c r="I319" s="101" t="s">
        <v>210</v>
      </c>
      <c r="J319" s="101" t="s">
        <v>151</v>
      </c>
      <c r="K319" s="101" t="b">
        <v>1</v>
      </c>
      <c r="L319" s="97">
        <v>2024</v>
      </c>
      <c r="M319" s="98">
        <v>419332393</v>
      </c>
      <c r="N319" s="102">
        <v>41026</v>
      </c>
      <c r="O319" s="102">
        <v>41045</v>
      </c>
    </row>
    <row r="320" spans="1:15">
      <c r="A320" s="99">
        <v>2012</v>
      </c>
      <c r="B320" s="100" t="s">
        <v>192</v>
      </c>
      <c r="C320" s="100" t="s">
        <v>193</v>
      </c>
      <c r="D320" s="101">
        <v>1062000</v>
      </c>
      <c r="E320" s="101">
        <v>0</v>
      </c>
      <c r="F320" s="101"/>
      <c r="G320" s="101">
        <v>23</v>
      </c>
      <c r="H320" s="101" t="s">
        <v>126</v>
      </c>
      <c r="I320" s="101"/>
      <c r="J320" s="101" t="s">
        <v>127</v>
      </c>
      <c r="K320" s="101" t="b">
        <v>1</v>
      </c>
      <c r="L320" s="97">
        <v>2026</v>
      </c>
      <c r="M320" s="98">
        <v>72506</v>
      </c>
      <c r="N320" s="102">
        <v>41026</v>
      </c>
      <c r="O320" s="102">
        <v>41045</v>
      </c>
    </row>
    <row r="321" spans="1:15">
      <c r="A321" s="99">
        <v>2012</v>
      </c>
      <c r="B321" s="100" t="s">
        <v>192</v>
      </c>
      <c r="C321" s="100" t="s">
        <v>193</v>
      </c>
      <c r="D321" s="101">
        <v>1062000</v>
      </c>
      <c r="E321" s="101">
        <v>0</v>
      </c>
      <c r="F321" s="101"/>
      <c r="G321" s="101">
        <v>44</v>
      </c>
      <c r="H321" s="101">
        <v>20</v>
      </c>
      <c r="I321" s="101" t="s">
        <v>207</v>
      </c>
      <c r="J321" s="101" t="s">
        <v>145</v>
      </c>
      <c r="K321" s="101" t="b">
        <v>1</v>
      </c>
      <c r="L321" s="97">
        <v>2025</v>
      </c>
      <c r="M321" s="98">
        <v>6.1400000000000003E-2</v>
      </c>
      <c r="N321" s="102">
        <v>41026</v>
      </c>
      <c r="O321" s="102">
        <v>41045</v>
      </c>
    </row>
    <row r="322" spans="1:15">
      <c r="A322" s="99">
        <v>2012</v>
      </c>
      <c r="B322" s="100" t="s">
        <v>192</v>
      </c>
      <c r="C322" s="100" t="s">
        <v>193</v>
      </c>
      <c r="D322" s="101">
        <v>1062000</v>
      </c>
      <c r="E322" s="101">
        <v>0</v>
      </c>
      <c r="F322" s="101"/>
      <c r="G322" s="101">
        <v>37</v>
      </c>
      <c r="H322" s="101">
        <v>16</v>
      </c>
      <c r="I322" s="101"/>
      <c r="J322" s="101" t="s">
        <v>140</v>
      </c>
      <c r="K322" s="101" t="b">
        <v>1</v>
      </c>
      <c r="L322" s="97">
        <v>2023</v>
      </c>
      <c r="M322" s="98">
        <v>14709433</v>
      </c>
      <c r="N322" s="102">
        <v>41026</v>
      </c>
      <c r="O322" s="102">
        <v>41045</v>
      </c>
    </row>
    <row r="323" spans="1:15">
      <c r="A323" s="99">
        <v>2012</v>
      </c>
      <c r="B323" s="100" t="s">
        <v>192</v>
      </c>
      <c r="C323" s="100" t="s">
        <v>193</v>
      </c>
      <c r="D323" s="101">
        <v>1062000</v>
      </c>
      <c r="E323" s="101">
        <v>0</v>
      </c>
      <c r="F323" s="101"/>
      <c r="G323" s="101">
        <v>12</v>
      </c>
      <c r="H323" s="101" t="s">
        <v>112</v>
      </c>
      <c r="I323" s="101"/>
      <c r="J323" s="101" t="s">
        <v>113</v>
      </c>
      <c r="K323" s="101" t="b">
        <v>0</v>
      </c>
      <c r="L323" s="97">
        <v>2030</v>
      </c>
      <c r="M323" s="98">
        <v>416</v>
      </c>
      <c r="N323" s="102">
        <v>41026</v>
      </c>
      <c r="O323" s="102">
        <v>41045</v>
      </c>
    </row>
    <row r="324" spans="1:15">
      <c r="A324" s="99">
        <v>2012</v>
      </c>
      <c r="B324" s="100" t="s">
        <v>192</v>
      </c>
      <c r="C324" s="100" t="s">
        <v>193</v>
      </c>
      <c r="D324" s="101">
        <v>1062000</v>
      </c>
      <c r="E324" s="101">
        <v>0</v>
      </c>
      <c r="F324" s="101"/>
      <c r="G324" s="101">
        <v>27</v>
      </c>
      <c r="H324" s="101">
        <v>10</v>
      </c>
      <c r="I324" s="101"/>
      <c r="J324" s="101" t="s">
        <v>18</v>
      </c>
      <c r="K324" s="101" t="b">
        <v>0</v>
      </c>
      <c r="L324" s="97">
        <v>2030</v>
      </c>
      <c r="M324" s="98">
        <v>30767989</v>
      </c>
      <c r="N324" s="102">
        <v>41026</v>
      </c>
      <c r="O324" s="102">
        <v>41045</v>
      </c>
    </row>
    <row r="325" spans="1:15">
      <c r="A325" s="99">
        <v>2012</v>
      </c>
      <c r="B325" s="100" t="s">
        <v>192</v>
      </c>
      <c r="C325" s="100" t="s">
        <v>193</v>
      </c>
      <c r="D325" s="101">
        <v>1062000</v>
      </c>
      <c r="E325" s="101">
        <v>0</v>
      </c>
      <c r="F325" s="101"/>
      <c r="G325" s="101">
        <v>26</v>
      </c>
      <c r="H325" s="101">
        <v>9</v>
      </c>
      <c r="I325" s="101" t="s">
        <v>204</v>
      </c>
      <c r="J325" s="101" t="s">
        <v>131</v>
      </c>
      <c r="K325" s="101" t="b">
        <v>0</v>
      </c>
      <c r="L325" s="97">
        <v>2018</v>
      </c>
      <c r="M325" s="98">
        <v>8486239</v>
      </c>
      <c r="N325" s="102">
        <v>41026</v>
      </c>
      <c r="O325" s="102">
        <v>41045</v>
      </c>
    </row>
    <row r="326" spans="1:15">
      <c r="A326" s="99">
        <v>2012</v>
      </c>
      <c r="B326" s="100" t="s">
        <v>192</v>
      </c>
      <c r="C326" s="100" t="s">
        <v>193</v>
      </c>
      <c r="D326" s="101">
        <v>1062000</v>
      </c>
      <c r="E326" s="101">
        <v>0</v>
      </c>
      <c r="F326" s="101"/>
      <c r="G326" s="101">
        <v>37</v>
      </c>
      <c r="H326" s="101">
        <v>16</v>
      </c>
      <c r="I326" s="101"/>
      <c r="J326" s="101" t="s">
        <v>140</v>
      </c>
      <c r="K326" s="101" t="b">
        <v>1</v>
      </c>
      <c r="L326" s="97">
        <v>2022</v>
      </c>
      <c r="M326" s="98">
        <v>22649236</v>
      </c>
      <c r="N326" s="102">
        <v>41026</v>
      </c>
      <c r="O326" s="102">
        <v>41045</v>
      </c>
    </row>
    <row r="327" spans="1:15">
      <c r="A327" s="99">
        <v>2012</v>
      </c>
      <c r="B327" s="100" t="s">
        <v>192</v>
      </c>
      <c r="C327" s="100" t="s">
        <v>193</v>
      </c>
      <c r="D327" s="101">
        <v>1062000</v>
      </c>
      <c r="E327" s="101">
        <v>0</v>
      </c>
      <c r="F327" s="101"/>
      <c r="G327" s="101">
        <v>7</v>
      </c>
      <c r="H327" s="101">
        <v>2</v>
      </c>
      <c r="I327" s="101"/>
      <c r="J327" s="101" t="s">
        <v>3</v>
      </c>
      <c r="K327" s="101" t="b">
        <v>1</v>
      </c>
      <c r="L327" s="97">
        <v>2027</v>
      </c>
      <c r="M327" s="98">
        <v>429969966</v>
      </c>
      <c r="N327" s="102">
        <v>41026</v>
      </c>
      <c r="O327" s="102">
        <v>41045</v>
      </c>
    </row>
    <row r="328" spans="1:15">
      <c r="A328" s="99">
        <v>2012</v>
      </c>
      <c r="B328" s="100" t="s">
        <v>192</v>
      </c>
      <c r="C328" s="100" t="s">
        <v>193</v>
      </c>
      <c r="D328" s="101">
        <v>1062000</v>
      </c>
      <c r="E328" s="101">
        <v>0</v>
      </c>
      <c r="F328" s="101"/>
      <c r="G328" s="101">
        <v>57</v>
      </c>
      <c r="H328" s="101">
        <v>30</v>
      </c>
      <c r="I328" s="101" t="s">
        <v>209</v>
      </c>
      <c r="J328" s="101" t="s">
        <v>153</v>
      </c>
      <c r="K328" s="101" t="b">
        <v>0</v>
      </c>
      <c r="L328" s="97">
        <v>2027</v>
      </c>
      <c r="M328" s="98">
        <v>3625279</v>
      </c>
      <c r="N328" s="102">
        <v>41026</v>
      </c>
      <c r="O328" s="102">
        <v>41045</v>
      </c>
    </row>
    <row r="329" spans="1:15">
      <c r="A329" s="99">
        <v>2012</v>
      </c>
      <c r="B329" s="100" t="s">
        <v>192</v>
      </c>
      <c r="C329" s="100" t="s">
        <v>193</v>
      </c>
      <c r="D329" s="101">
        <v>1062000</v>
      </c>
      <c r="E329" s="101">
        <v>0</v>
      </c>
      <c r="F329" s="101"/>
      <c r="G329" s="101">
        <v>57</v>
      </c>
      <c r="H329" s="101">
        <v>30</v>
      </c>
      <c r="I329" s="101" t="s">
        <v>209</v>
      </c>
      <c r="J329" s="101" t="s">
        <v>153</v>
      </c>
      <c r="K329" s="101" t="b">
        <v>0</v>
      </c>
      <c r="L329" s="97">
        <v>2021</v>
      </c>
      <c r="M329" s="98">
        <v>22083017</v>
      </c>
      <c r="N329" s="102">
        <v>41026</v>
      </c>
      <c r="O329" s="102">
        <v>41045</v>
      </c>
    </row>
    <row r="330" spans="1:15">
      <c r="A330" s="99">
        <v>2012</v>
      </c>
      <c r="B330" s="100" t="s">
        <v>192</v>
      </c>
      <c r="C330" s="100" t="s">
        <v>193</v>
      </c>
      <c r="D330" s="101">
        <v>1062000</v>
      </c>
      <c r="E330" s="101">
        <v>0</v>
      </c>
      <c r="F330" s="101"/>
      <c r="G330" s="101">
        <v>1</v>
      </c>
      <c r="H330" s="101">
        <v>1</v>
      </c>
      <c r="I330" s="101" t="s">
        <v>212</v>
      </c>
      <c r="J330" s="101" t="s">
        <v>93</v>
      </c>
      <c r="K330" s="101" t="b">
        <v>1</v>
      </c>
      <c r="L330" s="97">
        <v>2013</v>
      </c>
      <c r="M330" s="98">
        <v>395472749.97000003</v>
      </c>
      <c r="N330" s="102">
        <v>41026</v>
      </c>
      <c r="O330" s="102">
        <v>41045</v>
      </c>
    </row>
    <row r="331" spans="1:15">
      <c r="A331" s="99">
        <v>2012</v>
      </c>
      <c r="B331" s="100" t="s">
        <v>192</v>
      </c>
      <c r="C331" s="100" t="s">
        <v>193</v>
      </c>
      <c r="D331" s="101">
        <v>1062000</v>
      </c>
      <c r="E331" s="101">
        <v>0</v>
      </c>
      <c r="F331" s="101"/>
      <c r="G331" s="101">
        <v>9</v>
      </c>
      <c r="H331" s="101" t="s">
        <v>106</v>
      </c>
      <c r="I331" s="101"/>
      <c r="J331" s="101" t="s">
        <v>107</v>
      </c>
      <c r="K331" s="101" t="b">
        <v>0</v>
      </c>
      <c r="L331" s="97">
        <v>2029</v>
      </c>
      <c r="M331" s="98">
        <v>24776271</v>
      </c>
      <c r="N331" s="102">
        <v>41026</v>
      </c>
      <c r="O331" s="102">
        <v>41045</v>
      </c>
    </row>
    <row r="332" spans="1:15">
      <c r="A332" s="99">
        <v>2012</v>
      </c>
      <c r="B332" s="100" t="s">
        <v>192</v>
      </c>
      <c r="C332" s="100" t="s">
        <v>193</v>
      </c>
      <c r="D332" s="101">
        <v>1062000</v>
      </c>
      <c r="E332" s="101">
        <v>0</v>
      </c>
      <c r="F332" s="101"/>
      <c r="G332" s="101">
        <v>21</v>
      </c>
      <c r="H332" s="101" t="s">
        <v>122</v>
      </c>
      <c r="I332" s="101"/>
      <c r="J332" s="101" t="s">
        <v>123</v>
      </c>
      <c r="K332" s="101" t="b">
        <v>1</v>
      </c>
      <c r="L332" s="97">
        <v>2029</v>
      </c>
      <c r="M332" s="98">
        <v>3625279.37</v>
      </c>
      <c r="N332" s="102">
        <v>41026</v>
      </c>
      <c r="O332" s="102">
        <v>41045</v>
      </c>
    </row>
    <row r="333" spans="1:15">
      <c r="A333" s="99">
        <v>2012</v>
      </c>
      <c r="B333" s="100" t="s">
        <v>192</v>
      </c>
      <c r="C333" s="100" t="s">
        <v>193</v>
      </c>
      <c r="D333" s="101">
        <v>1062000</v>
      </c>
      <c r="E333" s="101">
        <v>0</v>
      </c>
      <c r="F333" s="101"/>
      <c r="G333" s="101">
        <v>51</v>
      </c>
      <c r="H333" s="101">
        <v>24</v>
      </c>
      <c r="I333" s="101" t="s">
        <v>202</v>
      </c>
      <c r="J333" s="101" t="s">
        <v>150</v>
      </c>
      <c r="K333" s="101" t="b">
        <v>1</v>
      </c>
      <c r="L333" s="97">
        <v>2022</v>
      </c>
      <c r="M333" s="98">
        <v>372775474</v>
      </c>
      <c r="N333" s="102">
        <v>41026</v>
      </c>
      <c r="O333" s="102">
        <v>41045</v>
      </c>
    </row>
    <row r="334" spans="1:15">
      <c r="A334" s="99">
        <v>2012</v>
      </c>
      <c r="B334" s="100" t="s">
        <v>192</v>
      </c>
      <c r="C334" s="100" t="s">
        <v>193</v>
      </c>
      <c r="D334" s="101">
        <v>1062000</v>
      </c>
      <c r="E334" s="101">
        <v>0</v>
      </c>
      <c r="F334" s="101"/>
      <c r="G334" s="101">
        <v>4</v>
      </c>
      <c r="H334" s="101" t="s">
        <v>98</v>
      </c>
      <c r="I334" s="101"/>
      <c r="J334" s="101" t="s">
        <v>99</v>
      </c>
      <c r="K334" s="101" t="b">
        <v>1</v>
      </c>
      <c r="L334" s="97">
        <v>2021</v>
      </c>
      <c r="M334" s="98">
        <v>4000000</v>
      </c>
      <c r="N334" s="102">
        <v>41026</v>
      </c>
      <c r="O334" s="102">
        <v>41045</v>
      </c>
    </row>
    <row r="335" spans="1:15">
      <c r="A335" s="99">
        <v>2012</v>
      </c>
      <c r="B335" s="100" t="s">
        <v>192</v>
      </c>
      <c r="C335" s="100" t="s">
        <v>193</v>
      </c>
      <c r="D335" s="101">
        <v>1062000</v>
      </c>
      <c r="E335" s="101">
        <v>0</v>
      </c>
      <c r="F335" s="101"/>
      <c r="G335" s="101">
        <v>44</v>
      </c>
      <c r="H335" s="101">
        <v>20</v>
      </c>
      <c r="I335" s="101" t="s">
        <v>207</v>
      </c>
      <c r="J335" s="101" t="s">
        <v>145</v>
      </c>
      <c r="K335" s="101" t="b">
        <v>1</v>
      </c>
      <c r="L335" s="97">
        <v>2022</v>
      </c>
      <c r="M335" s="98">
        <v>6.2899999999999998E-2</v>
      </c>
      <c r="N335" s="102">
        <v>41026</v>
      </c>
      <c r="O335" s="102">
        <v>41045</v>
      </c>
    </row>
    <row r="336" spans="1:15">
      <c r="A336" s="99">
        <v>2012</v>
      </c>
      <c r="B336" s="100" t="s">
        <v>192</v>
      </c>
      <c r="C336" s="100" t="s">
        <v>193</v>
      </c>
      <c r="D336" s="101">
        <v>1062000</v>
      </c>
      <c r="E336" s="101">
        <v>0</v>
      </c>
      <c r="F336" s="101"/>
      <c r="G336" s="101">
        <v>24</v>
      </c>
      <c r="H336" s="101" t="s">
        <v>128</v>
      </c>
      <c r="I336" s="101"/>
      <c r="J336" s="101" t="s">
        <v>129</v>
      </c>
      <c r="K336" s="101" t="b">
        <v>1</v>
      </c>
      <c r="L336" s="97">
        <v>2027</v>
      </c>
      <c r="M336" s="98">
        <v>54379</v>
      </c>
      <c r="N336" s="102">
        <v>41026</v>
      </c>
      <c r="O336" s="102">
        <v>41045</v>
      </c>
    </row>
    <row r="337" spans="1:15">
      <c r="A337" s="99">
        <v>2012</v>
      </c>
      <c r="B337" s="100" t="s">
        <v>192</v>
      </c>
      <c r="C337" s="100" t="s">
        <v>193</v>
      </c>
      <c r="D337" s="101">
        <v>1062000</v>
      </c>
      <c r="E337" s="101">
        <v>0</v>
      </c>
      <c r="F337" s="101"/>
      <c r="G337" s="101">
        <v>23</v>
      </c>
      <c r="H337" s="101" t="s">
        <v>126</v>
      </c>
      <c r="I337" s="101"/>
      <c r="J337" s="101" t="s">
        <v>127</v>
      </c>
      <c r="K337" s="101" t="b">
        <v>1</v>
      </c>
      <c r="L337" s="97">
        <v>2023</v>
      </c>
      <c r="M337" s="98">
        <v>795612</v>
      </c>
      <c r="N337" s="102">
        <v>41026</v>
      </c>
      <c r="O337" s="102">
        <v>41045</v>
      </c>
    </row>
    <row r="338" spans="1:15">
      <c r="A338" s="99">
        <v>2012</v>
      </c>
      <c r="B338" s="100" t="s">
        <v>192</v>
      </c>
      <c r="C338" s="100" t="s">
        <v>193</v>
      </c>
      <c r="D338" s="101">
        <v>1062000</v>
      </c>
      <c r="E338" s="101">
        <v>0</v>
      </c>
      <c r="F338" s="101"/>
      <c r="G338" s="101">
        <v>33</v>
      </c>
      <c r="H338" s="101">
        <v>13</v>
      </c>
      <c r="I338" s="101"/>
      <c r="J338" s="101" t="s">
        <v>66</v>
      </c>
      <c r="K338" s="101" t="b">
        <v>1</v>
      </c>
      <c r="L338" s="97">
        <v>2018</v>
      </c>
      <c r="M338" s="98">
        <v>121293360.37</v>
      </c>
      <c r="N338" s="102">
        <v>41026</v>
      </c>
      <c r="O338" s="102">
        <v>41045</v>
      </c>
    </row>
    <row r="339" spans="1:15">
      <c r="A339" s="99">
        <v>2012</v>
      </c>
      <c r="B339" s="100" t="s">
        <v>192</v>
      </c>
      <c r="C339" s="100" t="s">
        <v>193</v>
      </c>
      <c r="D339" s="101">
        <v>1062000</v>
      </c>
      <c r="E339" s="101">
        <v>0</v>
      </c>
      <c r="F339" s="101"/>
      <c r="G339" s="101">
        <v>24</v>
      </c>
      <c r="H339" s="101" t="s">
        <v>128</v>
      </c>
      <c r="I339" s="101"/>
      <c r="J339" s="101" t="s">
        <v>129</v>
      </c>
      <c r="K339" s="101" t="b">
        <v>1</v>
      </c>
      <c r="L339" s="97">
        <v>2017</v>
      </c>
      <c r="M339" s="98">
        <v>8428185</v>
      </c>
      <c r="N339" s="102">
        <v>41026</v>
      </c>
      <c r="O339" s="102">
        <v>41045</v>
      </c>
    </row>
    <row r="340" spans="1:15">
      <c r="A340" s="99">
        <v>2012</v>
      </c>
      <c r="B340" s="100" t="s">
        <v>192</v>
      </c>
      <c r="C340" s="100" t="s">
        <v>193</v>
      </c>
      <c r="D340" s="101">
        <v>1062000</v>
      </c>
      <c r="E340" s="101">
        <v>0</v>
      </c>
      <c r="F340" s="101"/>
      <c r="G340" s="101">
        <v>1</v>
      </c>
      <c r="H340" s="101">
        <v>1</v>
      </c>
      <c r="I340" s="101" t="s">
        <v>212</v>
      </c>
      <c r="J340" s="101" t="s">
        <v>93</v>
      </c>
      <c r="K340" s="101" t="b">
        <v>1</v>
      </c>
      <c r="L340" s="97">
        <v>2016</v>
      </c>
      <c r="M340" s="98">
        <v>341930158</v>
      </c>
      <c r="N340" s="102">
        <v>41026</v>
      </c>
      <c r="O340" s="102">
        <v>41045</v>
      </c>
    </row>
    <row r="341" spans="1:15">
      <c r="A341" s="99">
        <v>2012</v>
      </c>
      <c r="B341" s="100" t="s">
        <v>192</v>
      </c>
      <c r="C341" s="100" t="s">
        <v>193</v>
      </c>
      <c r="D341" s="101">
        <v>1062000</v>
      </c>
      <c r="E341" s="101">
        <v>0</v>
      </c>
      <c r="F341" s="101"/>
      <c r="G341" s="101">
        <v>45</v>
      </c>
      <c r="H341" s="101" t="s">
        <v>146</v>
      </c>
      <c r="I341" s="101" t="s">
        <v>203</v>
      </c>
      <c r="J341" s="101" t="s">
        <v>53</v>
      </c>
      <c r="K341" s="101" t="b">
        <v>0</v>
      </c>
      <c r="L341" s="97">
        <v>2019</v>
      </c>
      <c r="M341" s="98">
        <v>6.8400000000000002E-2</v>
      </c>
      <c r="N341" s="102">
        <v>41026</v>
      </c>
      <c r="O341" s="102">
        <v>41045</v>
      </c>
    </row>
    <row r="342" spans="1:15">
      <c r="A342" s="99">
        <v>2012</v>
      </c>
      <c r="B342" s="100" t="s">
        <v>192</v>
      </c>
      <c r="C342" s="100" t="s">
        <v>193</v>
      </c>
      <c r="D342" s="101">
        <v>1062000</v>
      </c>
      <c r="E342" s="101">
        <v>0</v>
      </c>
      <c r="F342" s="101"/>
      <c r="G342" s="101">
        <v>41</v>
      </c>
      <c r="H342" s="101" t="s">
        <v>143</v>
      </c>
      <c r="I342" s="101" t="s">
        <v>211</v>
      </c>
      <c r="J342" s="101" t="s">
        <v>71</v>
      </c>
      <c r="K342" s="101" t="b">
        <v>0</v>
      </c>
      <c r="L342" s="97">
        <v>2026</v>
      </c>
      <c r="M342" s="98">
        <v>2.4400000000000002E-2</v>
      </c>
      <c r="N342" s="102">
        <v>41026</v>
      </c>
      <c r="O342" s="102">
        <v>41045</v>
      </c>
    </row>
    <row r="343" spans="1:15">
      <c r="A343" s="99">
        <v>2012</v>
      </c>
      <c r="B343" s="100" t="s">
        <v>192</v>
      </c>
      <c r="C343" s="100" t="s">
        <v>193</v>
      </c>
      <c r="D343" s="101">
        <v>1062000</v>
      </c>
      <c r="E343" s="101">
        <v>0</v>
      </c>
      <c r="F343" s="101"/>
      <c r="G343" s="101">
        <v>20</v>
      </c>
      <c r="H343" s="101">
        <v>7</v>
      </c>
      <c r="I343" s="101" t="s">
        <v>215</v>
      </c>
      <c r="J343" s="101" t="s">
        <v>12</v>
      </c>
      <c r="K343" s="101" t="b">
        <v>1</v>
      </c>
      <c r="L343" s="97">
        <v>2027</v>
      </c>
      <c r="M343" s="98">
        <v>3679658</v>
      </c>
      <c r="N343" s="102">
        <v>41026</v>
      </c>
      <c r="O343" s="102">
        <v>41045</v>
      </c>
    </row>
    <row r="344" spans="1:15">
      <c r="A344" s="99">
        <v>2012</v>
      </c>
      <c r="B344" s="100" t="s">
        <v>192</v>
      </c>
      <c r="C344" s="100" t="s">
        <v>193</v>
      </c>
      <c r="D344" s="101">
        <v>1062000</v>
      </c>
      <c r="E344" s="101">
        <v>0</v>
      </c>
      <c r="F344" s="101"/>
      <c r="G344" s="101">
        <v>5</v>
      </c>
      <c r="H344" s="101" t="s">
        <v>100</v>
      </c>
      <c r="I344" s="101"/>
      <c r="J344" s="101" t="s">
        <v>101</v>
      </c>
      <c r="K344" s="101" t="b">
        <v>1</v>
      </c>
      <c r="L344" s="97">
        <v>2024</v>
      </c>
      <c r="M344" s="98">
        <v>500000</v>
      </c>
      <c r="N344" s="102">
        <v>41026</v>
      </c>
      <c r="O344" s="102">
        <v>41045</v>
      </c>
    </row>
    <row r="345" spans="1:15">
      <c r="A345" s="99">
        <v>2012</v>
      </c>
      <c r="B345" s="100" t="s">
        <v>192</v>
      </c>
      <c r="C345" s="100" t="s">
        <v>193</v>
      </c>
      <c r="D345" s="101">
        <v>1062000</v>
      </c>
      <c r="E345" s="101">
        <v>0</v>
      </c>
      <c r="F345" s="101"/>
      <c r="G345" s="101">
        <v>40</v>
      </c>
      <c r="H345" s="101">
        <v>18</v>
      </c>
      <c r="I345" s="101" t="s">
        <v>194</v>
      </c>
      <c r="J345" s="101" t="s">
        <v>69</v>
      </c>
      <c r="K345" s="101" t="b">
        <v>0</v>
      </c>
      <c r="L345" s="97">
        <v>2017</v>
      </c>
      <c r="M345" s="98">
        <v>0.39479999999999998</v>
      </c>
      <c r="N345" s="102">
        <v>41026</v>
      </c>
      <c r="O345" s="102">
        <v>41045</v>
      </c>
    </row>
    <row r="346" spans="1:15">
      <c r="A346" s="99">
        <v>2012</v>
      </c>
      <c r="B346" s="100" t="s">
        <v>192</v>
      </c>
      <c r="C346" s="100" t="s">
        <v>193</v>
      </c>
      <c r="D346" s="101">
        <v>1062000</v>
      </c>
      <c r="E346" s="101">
        <v>0</v>
      </c>
      <c r="F346" s="101"/>
      <c r="G346" s="101">
        <v>50</v>
      </c>
      <c r="H346" s="101">
        <v>23</v>
      </c>
      <c r="I346" s="101" t="s">
        <v>197</v>
      </c>
      <c r="J346" s="101" t="s">
        <v>149</v>
      </c>
      <c r="K346" s="101" t="b">
        <v>1</v>
      </c>
      <c r="L346" s="97">
        <v>2012</v>
      </c>
      <c r="M346" s="98">
        <v>315783037.79000002</v>
      </c>
      <c r="N346" s="102">
        <v>41026</v>
      </c>
      <c r="O346" s="102">
        <v>41045</v>
      </c>
    </row>
    <row r="347" spans="1:15">
      <c r="A347" s="99">
        <v>2012</v>
      </c>
      <c r="B347" s="100" t="s">
        <v>192</v>
      </c>
      <c r="C347" s="100" t="s">
        <v>193</v>
      </c>
      <c r="D347" s="101">
        <v>1062000</v>
      </c>
      <c r="E347" s="101">
        <v>0</v>
      </c>
      <c r="F347" s="101"/>
      <c r="G347" s="101">
        <v>48</v>
      </c>
      <c r="H347" s="101">
        <v>22</v>
      </c>
      <c r="I347" s="101" t="s">
        <v>196</v>
      </c>
      <c r="J347" s="101" t="s">
        <v>77</v>
      </c>
      <c r="K347" s="101" t="b">
        <v>0</v>
      </c>
      <c r="L347" s="97">
        <v>2015</v>
      </c>
      <c r="M347" s="98">
        <v>8.4500000000000006E-2</v>
      </c>
      <c r="N347" s="102">
        <v>41026</v>
      </c>
      <c r="O347" s="102">
        <v>41045</v>
      </c>
    </row>
    <row r="348" spans="1:15">
      <c r="A348" s="99">
        <v>2012</v>
      </c>
      <c r="B348" s="100" t="s">
        <v>192</v>
      </c>
      <c r="C348" s="100" t="s">
        <v>193</v>
      </c>
      <c r="D348" s="101">
        <v>1062000</v>
      </c>
      <c r="E348" s="101">
        <v>0</v>
      </c>
      <c r="F348" s="101"/>
      <c r="G348" s="101">
        <v>48</v>
      </c>
      <c r="H348" s="101">
        <v>22</v>
      </c>
      <c r="I348" s="101" t="s">
        <v>196</v>
      </c>
      <c r="J348" s="101" t="s">
        <v>77</v>
      </c>
      <c r="K348" s="101" t="b">
        <v>0</v>
      </c>
      <c r="L348" s="97">
        <v>2013</v>
      </c>
      <c r="M348" s="98">
        <v>6.0900000000000003E-2</v>
      </c>
      <c r="N348" s="102">
        <v>41026</v>
      </c>
      <c r="O348" s="102">
        <v>41045</v>
      </c>
    </row>
    <row r="349" spans="1:15">
      <c r="A349" s="99">
        <v>2012</v>
      </c>
      <c r="B349" s="100" t="s">
        <v>192</v>
      </c>
      <c r="C349" s="100" t="s">
        <v>193</v>
      </c>
      <c r="D349" s="101">
        <v>1062000</v>
      </c>
      <c r="E349" s="101">
        <v>0</v>
      </c>
      <c r="F349" s="101"/>
      <c r="G349" s="101">
        <v>29</v>
      </c>
      <c r="H349" s="101" t="s">
        <v>134</v>
      </c>
      <c r="I349" s="101"/>
      <c r="J349" s="101" t="s">
        <v>115</v>
      </c>
      <c r="K349" s="101" t="b">
        <v>0</v>
      </c>
      <c r="L349" s="97">
        <v>2014</v>
      </c>
      <c r="M349" s="98">
        <v>10239163.01</v>
      </c>
      <c r="N349" s="102">
        <v>41026</v>
      </c>
      <c r="O349" s="102">
        <v>41045</v>
      </c>
    </row>
    <row r="350" spans="1:15">
      <c r="A350" s="99">
        <v>2012</v>
      </c>
      <c r="B350" s="100" t="s">
        <v>192</v>
      </c>
      <c r="C350" s="100" t="s">
        <v>193</v>
      </c>
      <c r="D350" s="101">
        <v>1062000</v>
      </c>
      <c r="E350" s="101">
        <v>0</v>
      </c>
      <c r="F350" s="101"/>
      <c r="G350" s="101">
        <v>47</v>
      </c>
      <c r="H350" s="101" t="s">
        <v>147</v>
      </c>
      <c r="I350" s="101" t="s">
        <v>206</v>
      </c>
      <c r="J350" s="101" t="s">
        <v>76</v>
      </c>
      <c r="K350" s="101" t="b">
        <v>0</v>
      </c>
      <c r="L350" s="97">
        <v>2020</v>
      </c>
      <c r="M350" s="98">
        <v>14</v>
      </c>
      <c r="N350" s="102">
        <v>41026</v>
      </c>
      <c r="O350" s="102">
        <v>41045</v>
      </c>
    </row>
    <row r="351" spans="1:15">
      <c r="A351" s="99">
        <v>2012</v>
      </c>
      <c r="B351" s="100" t="s">
        <v>192</v>
      </c>
      <c r="C351" s="100" t="s">
        <v>193</v>
      </c>
      <c r="D351" s="101">
        <v>1062000</v>
      </c>
      <c r="E351" s="101">
        <v>0</v>
      </c>
      <c r="F351" s="101"/>
      <c r="G351" s="101">
        <v>41</v>
      </c>
      <c r="H351" s="101" t="s">
        <v>143</v>
      </c>
      <c r="I351" s="101" t="s">
        <v>211</v>
      </c>
      <c r="J351" s="101" t="s">
        <v>71</v>
      </c>
      <c r="K351" s="101" t="b">
        <v>0</v>
      </c>
      <c r="L351" s="97">
        <v>2027</v>
      </c>
      <c r="M351" s="98">
        <v>1.5800000000000002E-2</v>
      </c>
      <c r="N351" s="102">
        <v>41026</v>
      </c>
      <c r="O351" s="102">
        <v>41045</v>
      </c>
    </row>
    <row r="352" spans="1:15">
      <c r="A352" s="99">
        <v>2012</v>
      </c>
      <c r="B352" s="100" t="s">
        <v>192</v>
      </c>
      <c r="C352" s="100" t="s">
        <v>193</v>
      </c>
      <c r="D352" s="101">
        <v>1062000</v>
      </c>
      <c r="E352" s="101">
        <v>0</v>
      </c>
      <c r="F352" s="101"/>
      <c r="G352" s="101">
        <v>1</v>
      </c>
      <c r="H352" s="101">
        <v>1</v>
      </c>
      <c r="I352" s="101" t="s">
        <v>212</v>
      </c>
      <c r="J352" s="101" t="s">
        <v>93</v>
      </c>
      <c r="K352" s="101" t="b">
        <v>1</v>
      </c>
      <c r="L352" s="97">
        <v>2017</v>
      </c>
      <c r="M352" s="98">
        <v>350549063</v>
      </c>
      <c r="N352" s="102">
        <v>41026</v>
      </c>
      <c r="O352" s="102">
        <v>41045</v>
      </c>
    </row>
    <row r="353" spans="1:15">
      <c r="A353" s="99">
        <v>2012</v>
      </c>
      <c r="B353" s="100" t="s">
        <v>192</v>
      </c>
      <c r="C353" s="100" t="s">
        <v>193</v>
      </c>
      <c r="D353" s="101">
        <v>1062000</v>
      </c>
      <c r="E353" s="101">
        <v>0</v>
      </c>
      <c r="F353" s="101"/>
      <c r="G353" s="101">
        <v>57</v>
      </c>
      <c r="H353" s="101">
        <v>30</v>
      </c>
      <c r="I353" s="101" t="s">
        <v>209</v>
      </c>
      <c r="J353" s="101" t="s">
        <v>153</v>
      </c>
      <c r="K353" s="101" t="b">
        <v>0</v>
      </c>
      <c r="L353" s="97">
        <v>2020</v>
      </c>
      <c r="M353" s="98">
        <v>20700000</v>
      </c>
      <c r="N353" s="102">
        <v>41026</v>
      </c>
      <c r="O353" s="102">
        <v>41045</v>
      </c>
    </row>
    <row r="354" spans="1:15">
      <c r="A354" s="99">
        <v>2012</v>
      </c>
      <c r="B354" s="100" t="s">
        <v>192</v>
      </c>
      <c r="C354" s="100" t="s">
        <v>193</v>
      </c>
      <c r="D354" s="101">
        <v>1062000</v>
      </c>
      <c r="E354" s="101">
        <v>0</v>
      </c>
      <c r="F354" s="101"/>
      <c r="G354" s="101">
        <v>45</v>
      </c>
      <c r="H354" s="101" t="s">
        <v>146</v>
      </c>
      <c r="I354" s="101" t="s">
        <v>203</v>
      </c>
      <c r="J354" s="101" t="s">
        <v>53</v>
      </c>
      <c r="K354" s="101" t="b">
        <v>0</v>
      </c>
      <c r="L354" s="97">
        <v>2021</v>
      </c>
      <c r="M354" s="98">
        <v>6.7100000000000007E-2</v>
      </c>
      <c r="N354" s="102">
        <v>41026</v>
      </c>
      <c r="O354" s="102">
        <v>41045</v>
      </c>
    </row>
    <row r="355" spans="1:15">
      <c r="A355" s="99">
        <v>2012</v>
      </c>
      <c r="B355" s="100" t="s">
        <v>192</v>
      </c>
      <c r="C355" s="100" t="s">
        <v>193</v>
      </c>
      <c r="D355" s="101">
        <v>1062000</v>
      </c>
      <c r="E355" s="101">
        <v>0</v>
      </c>
      <c r="F355" s="101"/>
      <c r="G355" s="101">
        <v>9</v>
      </c>
      <c r="H355" s="101" t="s">
        <v>106</v>
      </c>
      <c r="I355" s="101"/>
      <c r="J355" s="101" t="s">
        <v>107</v>
      </c>
      <c r="K355" s="101" t="b">
        <v>0</v>
      </c>
      <c r="L355" s="97">
        <v>2030</v>
      </c>
      <c r="M355" s="98">
        <v>25147915</v>
      </c>
      <c r="N355" s="102">
        <v>41026</v>
      </c>
      <c r="O355" s="102">
        <v>41045</v>
      </c>
    </row>
    <row r="356" spans="1:15">
      <c r="A356" s="99">
        <v>2012</v>
      </c>
      <c r="B356" s="100" t="s">
        <v>192</v>
      </c>
      <c r="C356" s="100" t="s">
        <v>193</v>
      </c>
      <c r="D356" s="101">
        <v>1062000</v>
      </c>
      <c r="E356" s="101">
        <v>0</v>
      </c>
      <c r="F356" s="101"/>
      <c r="G356" s="101">
        <v>52</v>
      </c>
      <c r="H356" s="101">
        <v>25</v>
      </c>
      <c r="I356" s="101" t="s">
        <v>214</v>
      </c>
      <c r="J356" s="101" t="s">
        <v>49</v>
      </c>
      <c r="K356" s="101" t="b">
        <v>1</v>
      </c>
      <c r="L356" s="97">
        <v>2021</v>
      </c>
      <c r="M356" s="98">
        <v>20218450</v>
      </c>
      <c r="N356" s="102">
        <v>41026</v>
      </c>
      <c r="O356" s="102">
        <v>41045</v>
      </c>
    </row>
    <row r="357" spans="1:15">
      <c r="A357" s="99">
        <v>2012</v>
      </c>
      <c r="B357" s="100" t="s">
        <v>192</v>
      </c>
      <c r="C357" s="100" t="s">
        <v>193</v>
      </c>
      <c r="D357" s="101">
        <v>1062000</v>
      </c>
      <c r="E357" s="101">
        <v>0</v>
      </c>
      <c r="F357" s="101"/>
      <c r="G357" s="101">
        <v>52</v>
      </c>
      <c r="H357" s="101">
        <v>25</v>
      </c>
      <c r="I357" s="101" t="s">
        <v>214</v>
      </c>
      <c r="J357" s="101" t="s">
        <v>49</v>
      </c>
      <c r="K357" s="101" t="b">
        <v>1</v>
      </c>
      <c r="L357" s="97">
        <v>2014</v>
      </c>
      <c r="M357" s="98">
        <v>17297682</v>
      </c>
      <c r="N357" s="102">
        <v>41026</v>
      </c>
      <c r="O357" s="102">
        <v>41045</v>
      </c>
    </row>
    <row r="358" spans="1:15">
      <c r="A358" s="99">
        <v>2012</v>
      </c>
      <c r="B358" s="100" t="s">
        <v>192</v>
      </c>
      <c r="C358" s="100" t="s">
        <v>193</v>
      </c>
      <c r="D358" s="101">
        <v>1062000</v>
      </c>
      <c r="E358" s="101">
        <v>0</v>
      </c>
      <c r="F358" s="101"/>
      <c r="G358" s="101">
        <v>44</v>
      </c>
      <c r="H358" s="101">
        <v>20</v>
      </c>
      <c r="I358" s="101" t="s">
        <v>207</v>
      </c>
      <c r="J358" s="101" t="s">
        <v>145</v>
      </c>
      <c r="K358" s="101" t="b">
        <v>1</v>
      </c>
      <c r="L358" s="97">
        <v>2028</v>
      </c>
      <c r="M358" s="98">
        <v>6.1400000000000003E-2</v>
      </c>
      <c r="N358" s="102">
        <v>41026</v>
      </c>
      <c r="O358" s="102">
        <v>41045</v>
      </c>
    </row>
    <row r="359" spans="1:15">
      <c r="A359" s="99">
        <v>2012</v>
      </c>
      <c r="B359" s="100" t="s">
        <v>192</v>
      </c>
      <c r="C359" s="100" t="s">
        <v>193</v>
      </c>
      <c r="D359" s="101">
        <v>1062000</v>
      </c>
      <c r="E359" s="101">
        <v>0</v>
      </c>
      <c r="F359" s="101"/>
      <c r="G359" s="101">
        <v>54</v>
      </c>
      <c r="H359" s="101">
        <v>27</v>
      </c>
      <c r="I359" s="101" t="s">
        <v>213</v>
      </c>
      <c r="J359" s="101" t="s">
        <v>46</v>
      </c>
      <c r="K359" s="101" t="b">
        <v>0</v>
      </c>
      <c r="L359" s="97">
        <v>2022</v>
      </c>
      <c r="M359" s="98">
        <v>375140464</v>
      </c>
      <c r="N359" s="102">
        <v>41026</v>
      </c>
      <c r="O359" s="102">
        <v>41045</v>
      </c>
    </row>
    <row r="360" spans="1:15">
      <c r="A360" s="99">
        <v>2012</v>
      </c>
      <c r="B360" s="100" t="s">
        <v>192</v>
      </c>
      <c r="C360" s="100" t="s">
        <v>193</v>
      </c>
      <c r="D360" s="101">
        <v>1062000</v>
      </c>
      <c r="E360" s="101">
        <v>0</v>
      </c>
      <c r="F360" s="101"/>
      <c r="G360" s="101">
        <v>53</v>
      </c>
      <c r="H360" s="101">
        <v>26</v>
      </c>
      <c r="I360" s="101" t="s">
        <v>210</v>
      </c>
      <c r="J360" s="101" t="s">
        <v>151</v>
      </c>
      <c r="K360" s="101" t="b">
        <v>1</v>
      </c>
      <c r="L360" s="97">
        <v>2029</v>
      </c>
      <c r="M360" s="98">
        <v>486041534</v>
      </c>
      <c r="N360" s="102">
        <v>41026</v>
      </c>
      <c r="O360" s="102">
        <v>41045</v>
      </c>
    </row>
    <row r="361" spans="1:15">
      <c r="A361" s="99">
        <v>2012</v>
      </c>
      <c r="B361" s="100" t="s">
        <v>192</v>
      </c>
      <c r="C361" s="100" t="s">
        <v>193</v>
      </c>
      <c r="D361" s="101">
        <v>1062000</v>
      </c>
      <c r="E361" s="101">
        <v>0</v>
      </c>
      <c r="F361" s="101"/>
      <c r="G361" s="101">
        <v>54</v>
      </c>
      <c r="H361" s="101">
        <v>27</v>
      </c>
      <c r="I361" s="101" t="s">
        <v>213</v>
      </c>
      <c r="J361" s="101" t="s">
        <v>46</v>
      </c>
      <c r="K361" s="101" t="b">
        <v>0</v>
      </c>
      <c r="L361" s="97">
        <v>2016</v>
      </c>
      <c r="M361" s="98">
        <v>324462598</v>
      </c>
      <c r="N361" s="102">
        <v>41026</v>
      </c>
      <c r="O361" s="102">
        <v>41045</v>
      </c>
    </row>
    <row r="362" spans="1:15">
      <c r="A362" s="99">
        <v>2012</v>
      </c>
      <c r="B362" s="100" t="s">
        <v>192</v>
      </c>
      <c r="C362" s="100" t="s">
        <v>193</v>
      </c>
      <c r="D362" s="101">
        <v>1062000</v>
      </c>
      <c r="E362" s="101">
        <v>0</v>
      </c>
      <c r="F362" s="101"/>
      <c r="G362" s="101">
        <v>5</v>
      </c>
      <c r="H362" s="101" t="s">
        <v>100</v>
      </c>
      <c r="I362" s="101"/>
      <c r="J362" s="101" t="s">
        <v>101</v>
      </c>
      <c r="K362" s="101" t="b">
        <v>1</v>
      </c>
      <c r="L362" s="97">
        <v>2014</v>
      </c>
      <c r="M362" s="98">
        <v>6000000</v>
      </c>
      <c r="N362" s="102">
        <v>41026</v>
      </c>
      <c r="O362" s="102">
        <v>41045</v>
      </c>
    </row>
    <row r="363" spans="1:15">
      <c r="A363" s="99">
        <v>2012</v>
      </c>
      <c r="B363" s="100" t="s">
        <v>192</v>
      </c>
      <c r="C363" s="100" t="s">
        <v>193</v>
      </c>
      <c r="D363" s="101">
        <v>1062000</v>
      </c>
      <c r="E363" s="101">
        <v>0</v>
      </c>
      <c r="F363" s="101"/>
      <c r="G363" s="101">
        <v>1</v>
      </c>
      <c r="H363" s="101">
        <v>1</v>
      </c>
      <c r="I363" s="101" t="s">
        <v>212</v>
      </c>
      <c r="J363" s="101" t="s">
        <v>93</v>
      </c>
      <c r="K363" s="101" t="b">
        <v>1</v>
      </c>
      <c r="L363" s="97">
        <v>2012</v>
      </c>
      <c r="M363" s="98">
        <v>404385559.97000003</v>
      </c>
      <c r="N363" s="102">
        <v>41026</v>
      </c>
      <c r="O363" s="102">
        <v>41045</v>
      </c>
    </row>
    <row r="364" spans="1:15">
      <c r="A364" s="99">
        <v>2012</v>
      </c>
      <c r="B364" s="100" t="s">
        <v>192</v>
      </c>
      <c r="C364" s="100" t="s">
        <v>193</v>
      </c>
      <c r="D364" s="101">
        <v>1062000</v>
      </c>
      <c r="E364" s="101">
        <v>0</v>
      </c>
      <c r="F364" s="101"/>
      <c r="G364" s="101">
        <v>24</v>
      </c>
      <c r="H364" s="101" t="s">
        <v>128</v>
      </c>
      <c r="I364" s="101"/>
      <c r="J364" s="101" t="s">
        <v>129</v>
      </c>
      <c r="K364" s="101" t="b">
        <v>1</v>
      </c>
      <c r="L364" s="97">
        <v>2028</v>
      </c>
      <c r="M364" s="98">
        <v>36253</v>
      </c>
      <c r="N364" s="102">
        <v>41026</v>
      </c>
      <c r="O364" s="102">
        <v>41045</v>
      </c>
    </row>
    <row r="365" spans="1:15">
      <c r="A365" s="99">
        <v>2012</v>
      </c>
      <c r="B365" s="100" t="s">
        <v>192</v>
      </c>
      <c r="C365" s="100" t="s">
        <v>193</v>
      </c>
      <c r="D365" s="101">
        <v>1062000</v>
      </c>
      <c r="E365" s="101">
        <v>0</v>
      </c>
      <c r="F365" s="101"/>
      <c r="G365" s="101">
        <v>14</v>
      </c>
      <c r="H365" s="101">
        <v>3</v>
      </c>
      <c r="I365" s="101" t="s">
        <v>195</v>
      </c>
      <c r="J365" s="101" t="s">
        <v>116</v>
      </c>
      <c r="K365" s="101" t="b">
        <v>1</v>
      </c>
      <c r="L365" s="97">
        <v>2015</v>
      </c>
      <c r="M365" s="98">
        <v>38505626</v>
      </c>
      <c r="N365" s="102">
        <v>41026</v>
      </c>
      <c r="O365" s="102">
        <v>41045</v>
      </c>
    </row>
    <row r="366" spans="1:15">
      <c r="A366" s="99">
        <v>2012</v>
      </c>
      <c r="B366" s="100" t="s">
        <v>192</v>
      </c>
      <c r="C366" s="100" t="s">
        <v>193</v>
      </c>
      <c r="D366" s="101">
        <v>1062000</v>
      </c>
      <c r="E366" s="101">
        <v>0</v>
      </c>
      <c r="F366" s="101"/>
      <c r="G366" s="101">
        <v>1</v>
      </c>
      <c r="H366" s="101">
        <v>1</v>
      </c>
      <c r="I366" s="101" t="s">
        <v>212</v>
      </c>
      <c r="J366" s="101" t="s">
        <v>93</v>
      </c>
      <c r="K366" s="101" t="b">
        <v>1</v>
      </c>
      <c r="L366" s="97">
        <v>2022</v>
      </c>
      <c r="M366" s="98">
        <v>397789700</v>
      </c>
      <c r="N366" s="102">
        <v>41026</v>
      </c>
      <c r="O366" s="102">
        <v>41045</v>
      </c>
    </row>
    <row r="367" spans="1:15">
      <c r="A367" s="99">
        <v>2012</v>
      </c>
      <c r="B367" s="100" t="s">
        <v>192</v>
      </c>
      <c r="C367" s="100" t="s">
        <v>193</v>
      </c>
      <c r="D367" s="101">
        <v>1062000</v>
      </c>
      <c r="E367" s="101">
        <v>0</v>
      </c>
      <c r="F367" s="101"/>
      <c r="G367" s="101">
        <v>8</v>
      </c>
      <c r="H367" s="101" t="s">
        <v>104</v>
      </c>
      <c r="I367" s="101"/>
      <c r="J367" s="101" t="s">
        <v>105</v>
      </c>
      <c r="K367" s="101" t="b">
        <v>0</v>
      </c>
      <c r="L367" s="97">
        <v>2022</v>
      </c>
      <c r="M367" s="98">
        <v>160152763</v>
      </c>
      <c r="N367" s="102">
        <v>41026</v>
      </c>
      <c r="O367" s="102">
        <v>41045</v>
      </c>
    </row>
    <row r="368" spans="1:15">
      <c r="A368" s="99">
        <v>2012</v>
      </c>
      <c r="B368" s="100" t="s">
        <v>192</v>
      </c>
      <c r="C368" s="100" t="s">
        <v>193</v>
      </c>
      <c r="D368" s="101">
        <v>1062000</v>
      </c>
      <c r="E368" s="101">
        <v>0</v>
      </c>
      <c r="F368" s="101"/>
      <c r="G368" s="101">
        <v>14</v>
      </c>
      <c r="H368" s="101">
        <v>3</v>
      </c>
      <c r="I368" s="101" t="s">
        <v>195</v>
      </c>
      <c r="J368" s="101" t="s">
        <v>116</v>
      </c>
      <c r="K368" s="101" t="b">
        <v>1</v>
      </c>
      <c r="L368" s="97">
        <v>2022</v>
      </c>
      <c r="M368" s="98">
        <v>26893830</v>
      </c>
      <c r="N368" s="102">
        <v>41026</v>
      </c>
      <c r="O368" s="102">
        <v>41045</v>
      </c>
    </row>
    <row r="369" spans="1:15">
      <c r="A369" s="99">
        <v>2012</v>
      </c>
      <c r="B369" s="100" t="s">
        <v>192</v>
      </c>
      <c r="C369" s="100" t="s">
        <v>193</v>
      </c>
      <c r="D369" s="101">
        <v>1062000</v>
      </c>
      <c r="E369" s="101">
        <v>0</v>
      </c>
      <c r="F369" s="101"/>
      <c r="G369" s="101">
        <v>33</v>
      </c>
      <c r="H369" s="101">
        <v>13</v>
      </c>
      <c r="I369" s="101"/>
      <c r="J369" s="101" t="s">
        <v>66</v>
      </c>
      <c r="K369" s="101" t="b">
        <v>1</v>
      </c>
      <c r="L369" s="97">
        <v>2017</v>
      </c>
      <c r="M369" s="98">
        <v>138403472.37</v>
      </c>
      <c r="N369" s="102">
        <v>41026</v>
      </c>
      <c r="O369" s="102">
        <v>41045</v>
      </c>
    </row>
    <row r="370" spans="1:15">
      <c r="A370" s="99">
        <v>2012</v>
      </c>
      <c r="B370" s="100" t="s">
        <v>192</v>
      </c>
      <c r="C370" s="100" t="s">
        <v>193</v>
      </c>
      <c r="D370" s="101">
        <v>1062000</v>
      </c>
      <c r="E370" s="101">
        <v>0</v>
      </c>
      <c r="F370" s="101"/>
      <c r="G370" s="101">
        <v>50</v>
      </c>
      <c r="H370" s="101">
        <v>23</v>
      </c>
      <c r="I370" s="101" t="s">
        <v>197</v>
      </c>
      <c r="J370" s="101" t="s">
        <v>149</v>
      </c>
      <c r="K370" s="101" t="b">
        <v>1</v>
      </c>
      <c r="L370" s="97">
        <v>2015</v>
      </c>
      <c r="M370" s="98">
        <v>321105175</v>
      </c>
      <c r="N370" s="102">
        <v>41026</v>
      </c>
      <c r="O370" s="102">
        <v>41045</v>
      </c>
    </row>
    <row r="371" spans="1:15">
      <c r="A371" s="99">
        <v>2012</v>
      </c>
      <c r="B371" s="100" t="s">
        <v>192</v>
      </c>
      <c r="C371" s="100" t="s">
        <v>193</v>
      </c>
      <c r="D371" s="101">
        <v>1062000</v>
      </c>
      <c r="E371" s="101">
        <v>0</v>
      </c>
      <c r="F371" s="101"/>
      <c r="G371" s="101">
        <v>53</v>
      </c>
      <c r="H371" s="101">
        <v>26</v>
      </c>
      <c r="I371" s="101" t="s">
        <v>210</v>
      </c>
      <c r="J371" s="101" t="s">
        <v>151</v>
      </c>
      <c r="K371" s="101" t="b">
        <v>1</v>
      </c>
      <c r="L371" s="97">
        <v>2014</v>
      </c>
      <c r="M371" s="98">
        <v>324543423</v>
      </c>
      <c r="N371" s="102">
        <v>41026</v>
      </c>
      <c r="O371" s="102">
        <v>41045</v>
      </c>
    </row>
    <row r="372" spans="1:15">
      <c r="A372" s="99">
        <v>2012</v>
      </c>
      <c r="B372" s="100" t="s">
        <v>192</v>
      </c>
      <c r="C372" s="100" t="s">
        <v>193</v>
      </c>
      <c r="D372" s="101">
        <v>1062000</v>
      </c>
      <c r="E372" s="101">
        <v>0</v>
      </c>
      <c r="F372" s="101"/>
      <c r="G372" s="101">
        <v>13</v>
      </c>
      <c r="H372" s="101" t="s">
        <v>114</v>
      </c>
      <c r="I372" s="101"/>
      <c r="J372" s="101" t="s">
        <v>115</v>
      </c>
      <c r="K372" s="101" t="b">
        <v>0</v>
      </c>
      <c r="L372" s="97">
        <v>2012</v>
      </c>
      <c r="M372" s="98">
        <v>48738.35</v>
      </c>
      <c r="N372" s="102">
        <v>41026</v>
      </c>
      <c r="O372" s="102">
        <v>41045</v>
      </c>
    </row>
    <row r="373" spans="1:15">
      <c r="A373" s="99">
        <v>2012</v>
      </c>
      <c r="B373" s="100" t="s">
        <v>192</v>
      </c>
      <c r="C373" s="100" t="s">
        <v>193</v>
      </c>
      <c r="D373" s="101">
        <v>1062000</v>
      </c>
      <c r="E373" s="101">
        <v>0</v>
      </c>
      <c r="F373" s="101"/>
      <c r="G373" s="101">
        <v>6</v>
      </c>
      <c r="H373" s="101" t="s">
        <v>102</v>
      </c>
      <c r="I373" s="101"/>
      <c r="J373" s="101" t="s">
        <v>103</v>
      </c>
      <c r="K373" s="101" t="b">
        <v>1</v>
      </c>
      <c r="L373" s="97">
        <v>2015</v>
      </c>
      <c r="M373" s="98">
        <v>7972734.1200000001</v>
      </c>
      <c r="N373" s="102">
        <v>41026</v>
      </c>
      <c r="O373" s="102">
        <v>41045</v>
      </c>
    </row>
    <row r="374" spans="1:15">
      <c r="A374" s="99">
        <v>2012</v>
      </c>
      <c r="B374" s="100" t="s">
        <v>192</v>
      </c>
      <c r="C374" s="100" t="s">
        <v>193</v>
      </c>
      <c r="D374" s="101">
        <v>1062000</v>
      </c>
      <c r="E374" s="101">
        <v>0</v>
      </c>
      <c r="F374" s="101"/>
      <c r="G374" s="101">
        <v>27</v>
      </c>
      <c r="H374" s="101">
        <v>10</v>
      </c>
      <c r="I374" s="101"/>
      <c r="J374" s="101" t="s">
        <v>18</v>
      </c>
      <c r="K374" s="101" t="b">
        <v>0</v>
      </c>
      <c r="L374" s="97">
        <v>2020</v>
      </c>
      <c r="M374" s="98">
        <v>3893266</v>
      </c>
      <c r="N374" s="102">
        <v>41026</v>
      </c>
      <c r="O374" s="102">
        <v>41045</v>
      </c>
    </row>
    <row r="375" spans="1:15">
      <c r="A375" s="99">
        <v>2012</v>
      </c>
      <c r="B375" s="100" t="s">
        <v>192</v>
      </c>
      <c r="C375" s="100" t="s">
        <v>193</v>
      </c>
      <c r="D375" s="101">
        <v>1062000</v>
      </c>
      <c r="E375" s="101">
        <v>0</v>
      </c>
      <c r="F375" s="101"/>
      <c r="G375" s="101">
        <v>53</v>
      </c>
      <c r="H375" s="101">
        <v>26</v>
      </c>
      <c r="I375" s="101" t="s">
        <v>210</v>
      </c>
      <c r="J375" s="101" t="s">
        <v>151</v>
      </c>
      <c r="K375" s="101" t="b">
        <v>1</v>
      </c>
      <c r="L375" s="97">
        <v>2015</v>
      </c>
      <c r="M375" s="98">
        <v>340077909</v>
      </c>
      <c r="N375" s="102">
        <v>41026</v>
      </c>
      <c r="O375" s="102">
        <v>41045</v>
      </c>
    </row>
    <row r="376" spans="1:15">
      <c r="A376" s="99">
        <v>2012</v>
      </c>
      <c r="B376" s="100" t="s">
        <v>192</v>
      </c>
      <c r="C376" s="100" t="s">
        <v>193</v>
      </c>
      <c r="D376" s="101">
        <v>1062000</v>
      </c>
      <c r="E376" s="101">
        <v>0</v>
      </c>
      <c r="F376" s="101"/>
      <c r="G376" s="101">
        <v>20</v>
      </c>
      <c r="H376" s="101">
        <v>7</v>
      </c>
      <c r="I376" s="101" t="s">
        <v>215</v>
      </c>
      <c r="J376" s="101" t="s">
        <v>12</v>
      </c>
      <c r="K376" s="101" t="b">
        <v>1</v>
      </c>
      <c r="L376" s="97">
        <v>2024</v>
      </c>
      <c r="M376" s="98">
        <v>3734037</v>
      </c>
      <c r="N376" s="102">
        <v>41026</v>
      </c>
      <c r="O376" s="102">
        <v>41045</v>
      </c>
    </row>
    <row r="377" spans="1:15">
      <c r="A377" s="99">
        <v>2012</v>
      </c>
      <c r="B377" s="100" t="s">
        <v>192</v>
      </c>
      <c r="C377" s="100" t="s">
        <v>193</v>
      </c>
      <c r="D377" s="101">
        <v>1062000</v>
      </c>
      <c r="E377" s="101">
        <v>0</v>
      </c>
      <c r="F377" s="101"/>
      <c r="G377" s="101">
        <v>37</v>
      </c>
      <c r="H377" s="101">
        <v>16</v>
      </c>
      <c r="I377" s="101"/>
      <c r="J377" s="101" t="s">
        <v>140</v>
      </c>
      <c r="K377" s="101" t="b">
        <v>1</v>
      </c>
      <c r="L377" s="97">
        <v>2017</v>
      </c>
      <c r="M377" s="98">
        <v>15586023</v>
      </c>
      <c r="N377" s="102">
        <v>41026</v>
      </c>
      <c r="O377" s="102">
        <v>41045</v>
      </c>
    </row>
    <row r="378" spans="1:15">
      <c r="A378" s="99">
        <v>2012</v>
      </c>
      <c r="B378" s="100" t="s">
        <v>192</v>
      </c>
      <c r="C378" s="100" t="s">
        <v>193</v>
      </c>
      <c r="D378" s="101">
        <v>1062000</v>
      </c>
      <c r="E378" s="101">
        <v>0</v>
      </c>
      <c r="F378" s="101"/>
      <c r="G378" s="101">
        <v>37</v>
      </c>
      <c r="H378" s="101">
        <v>16</v>
      </c>
      <c r="I378" s="101"/>
      <c r="J378" s="101" t="s">
        <v>140</v>
      </c>
      <c r="K378" s="101" t="b">
        <v>1</v>
      </c>
      <c r="L378" s="97">
        <v>2020</v>
      </c>
      <c r="M378" s="98">
        <v>20700000</v>
      </c>
      <c r="N378" s="102">
        <v>41026</v>
      </c>
      <c r="O378" s="102">
        <v>41045</v>
      </c>
    </row>
    <row r="379" spans="1:15">
      <c r="A379" s="99">
        <v>2012</v>
      </c>
      <c r="B379" s="100" t="s">
        <v>192</v>
      </c>
      <c r="C379" s="100" t="s">
        <v>193</v>
      </c>
      <c r="D379" s="101">
        <v>1062000</v>
      </c>
      <c r="E379" s="101">
        <v>0</v>
      </c>
      <c r="F379" s="101"/>
      <c r="G379" s="101">
        <v>28</v>
      </c>
      <c r="H379" s="101" t="s">
        <v>132</v>
      </c>
      <c r="I379" s="101"/>
      <c r="J379" s="101" t="s">
        <v>133</v>
      </c>
      <c r="K379" s="101" t="b">
        <v>0</v>
      </c>
      <c r="L379" s="97">
        <v>2019</v>
      </c>
      <c r="M379" s="98">
        <v>71340</v>
      </c>
      <c r="N379" s="102">
        <v>41026</v>
      </c>
      <c r="O379" s="102">
        <v>41045</v>
      </c>
    </row>
    <row r="380" spans="1:15">
      <c r="A380" s="99">
        <v>2012</v>
      </c>
      <c r="B380" s="100" t="s">
        <v>192</v>
      </c>
      <c r="C380" s="100" t="s">
        <v>193</v>
      </c>
      <c r="D380" s="101">
        <v>1062000</v>
      </c>
      <c r="E380" s="101">
        <v>0</v>
      </c>
      <c r="F380" s="101"/>
      <c r="G380" s="101">
        <v>42</v>
      </c>
      <c r="H380" s="101">
        <v>19</v>
      </c>
      <c r="I380" s="101" t="s">
        <v>200</v>
      </c>
      <c r="J380" s="101" t="s">
        <v>72</v>
      </c>
      <c r="K380" s="101" t="b">
        <v>1</v>
      </c>
      <c r="L380" s="97">
        <v>2013</v>
      </c>
      <c r="M380" s="98">
        <v>6.3299999999999995E-2</v>
      </c>
      <c r="N380" s="102">
        <v>41026</v>
      </c>
      <c r="O380" s="102">
        <v>41045</v>
      </c>
    </row>
    <row r="381" spans="1:15">
      <c r="A381" s="99">
        <v>2012</v>
      </c>
      <c r="B381" s="100" t="s">
        <v>192</v>
      </c>
      <c r="C381" s="100" t="s">
        <v>193</v>
      </c>
      <c r="D381" s="101">
        <v>1062000</v>
      </c>
      <c r="E381" s="101">
        <v>0</v>
      </c>
      <c r="F381" s="101"/>
      <c r="G381" s="101">
        <v>19</v>
      </c>
      <c r="H381" s="101">
        <v>6</v>
      </c>
      <c r="I381" s="101" t="s">
        <v>198</v>
      </c>
      <c r="J381" s="101" t="s">
        <v>121</v>
      </c>
      <c r="K381" s="101" t="b">
        <v>0</v>
      </c>
      <c r="L381" s="97">
        <v>2020</v>
      </c>
      <c r="M381" s="98">
        <v>28522226</v>
      </c>
      <c r="N381" s="102">
        <v>41026</v>
      </c>
      <c r="O381" s="102">
        <v>41045</v>
      </c>
    </row>
    <row r="382" spans="1:15">
      <c r="A382" s="99">
        <v>2012</v>
      </c>
      <c r="B382" s="100" t="s">
        <v>192</v>
      </c>
      <c r="C382" s="100" t="s">
        <v>193</v>
      </c>
      <c r="D382" s="101">
        <v>1062000</v>
      </c>
      <c r="E382" s="101">
        <v>0</v>
      </c>
      <c r="F382" s="101"/>
      <c r="G382" s="101">
        <v>47</v>
      </c>
      <c r="H382" s="101" t="s">
        <v>147</v>
      </c>
      <c r="I382" s="101" t="s">
        <v>206</v>
      </c>
      <c r="J382" s="101" t="s">
        <v>76</v>
      </c>
      <c r="K382" s="101" t="b">
        <v>0</v>
      </c>
      <c r="L382" s="97">
        <v>2014</v>
      </c>
      <c r="M382" s="98">
        <v>1</v>
      </c>
      <c r="N382" s="102">
        <v>41026</v>
      </c>
      <c r="O382" s="102">
        <v>41045</v>
      </c>
    </row>
    <row r="383" spans="1:15">
      <c r="A383" s="99">
        <v>2012</v>
      </c>
      <c r="B383" s="100" t="s">
        <v>192</v>
      </c>
      <c r="C383" s="100" t="s">
        <v>193</v>
      </c>
      <c r="D383" s="101">
        <v>1062000</v>
      </c>
      <c r="E383" s="101">
        <v>0</v>
      </c>
      <c r="F383" s="101"/>
      <c r="G383" s="101">
        <v>23</v>
      </c>
      <c r="H383" s="101" t="s">
        <v>126</v>
      </c>
      <c r="I383" s="101"/>
      <c r="J383" s="101" t="s">
        <v>127</v>
      </c>
      <c r="K383" s="101" t="b">
        <v>1</v>
      </c>
      <c r="L383" s="97">
        <v>2019</v>
      </c>
      <c r="M383" s="98">
        <v>4846425</v>
      </c>
      <c r="N383" s="102">
        <v>41026</v>
      </c>
      <c r="O383" s="102">
        <v>41045</v>
      </c>
    </row>
    <row r="384" spans="1:15">
      <c r="A384" s="99">
        <v>2012</v>
      </c>
      <c r="B384" s="100" t="s">
        <v>192</v>
      </c>
      <c r="C384" s="100" t="s">
        <v>193</v>
      </c>
      <c r="D384" s="101">
        <v>1062000</v>
      </c>
      <c r="E384" s="101">
        <v>0</v>
      </c>
      <c r="F384" s="101"/>
      <c r="G384" s="101">
        <v>37</v>
      </c>
      <c r="H384" s="101">
        <v>16</v>
      </c>
      <c r="I384" s="101"/>
      <c r="J384" s="101" t="s">
        <v>140</v>
      </c>
      <c r="K384" s="101" t="b">
        <v>1</v>
      </c>
      <c r="L384" s="97">
        <v>2029</v>
      </c>
      <c r="M384" s="98">
        <v>3625279.37</v>
      </c>
      <c r="N384" s="102">
        <v>41026</v>
      </c>
      <c r="O384" s="102">
        <v>41045</v>
      </c>
    </row>
    <row r="385" spans="1:15">
      <c r="A385" s="99">
        <v>2012</v>
      </c>
      <c r="B385" s="100" t="s">
        <v>192</v>
      </c>
      <c r="C385" s="100" t="s">
        <v>193</v>
      </c>
      <c r="D385" s="101">
        <v>1062000</v>
      </c>
      <c r="E385" s="101">
        <v>0</v>
      </c>
      <c r="F385" s="101"/>
      <c r="G385" s="101">
        <v>41</v>
      </c>
      <c r="H385" s="101" t="s">
        <v>143</v>
      </c>
      <c r="I385" s="101" t="s">
        <v>211</v>
      </c>
      <c r="J385" s="101" t="s">
        <v>71</v>
      </c>
      <c r="K385" s="101" t="b">
        <v>0</v>
      </c>
      <c r="L385" s="97">
        <v>2024</v>
      </c>
      <c r="M385" s="98">
        <v>4.3200000000000002E-2</v>
      </c>
      <c r="N385" s="102">
        <v>41026</v>
      </c>
      <c r="O385" s="102">
        <v>41045</v>
      </c>
    </row>
    <row r="386" spans="1:15">
      <c r="A386" s="99">
        <v>2012</v>
      </c>
      <c r="B386" s="100" t="s">
        <v>192</v>
      </c>
      <c r="C386" s="100" t="s">
        <v>193</v>
      </c>
      <c r="D386" s="101">
        <v>1062000</v>
      </c>
      <c r="E386" s="101">
        <v>0</v>
      </c>
      <c r="F386" s="101"/>
      <c r="G386" s="101">
        <v>51</v>
      </c>
      <c r="H386" s="101">
        <v>24</v>
      </c>
      <c r="I386" s="101" t="s">
        <v>202</v>
      </c>
      <c r="J386" s="101" t="s">
        <v>150</v>
      </c>
      <c r="K386" s="101" t="b">
        <v>1</v>
      </c>
      <c r="L386" s="97">
        <v>2026</v>
      </c>
      <c r="M386" s="98">
        <v>417519075</v>
      </c>
      <c r="N386" s="102">
        <v>41026</v>
      </c>
      <c r="O386" s="102">
        <v>41045</v>
      </c>
    </row>
    <row r="387" spans="1:15">
      <c r="A387" s="99">
        <v>2012</v>
      </c>
      <c r="B387" s="100" t="s">
        <v>192</v>
      </c>
      <c r="C387" s="100" t="s">
        <v>193</v>
      </c>
      <c r="D387" s="101">
        <v>1062000</v>
      </c>
      <c r="E387" s="101">
        <v>0</v>
      </c>
      <c r="F387" s="101"/>
      <c r="G387" s="101">
        <v>51</v>
      </c>
      <c r="H387" s="101">
        <v>24</v>
      </c>
      <c r="I387" s="101" t="s">
        <v>202</v>
      </c>
      <c r="J387" s="101" t="s">
        <v>150</v>
      </c>
      <c r="K387" s="101" t="b">
        <v>1</v>
      </c>
      <c r="L387" s="97">
        <v>2021</v>
      </c>
      <c r="M387" s="98">
        <v>363072521</v>
      </c>
      <c r="N387" s="102">
        <v>41026</v>
      </c>
      <c r="O387" s="102">
        <v>41045</v>
      </c>
    </row>
    <row r="388" spans="1:15">
      <c r="A388" s="99">
        <v>2012</v>
      </c>
      <c r="B388" s="100" t="s">
        <v>192</v>
      </c>
      <c r="C388" s="100" t="s">
        <v>193</v>
      </c>
      <c r="D388" s="101">
        <v>1062000</v>
      </c>
      <c r="E388" s="101">
        <v>0</v>
      </c>
      <c r="F388" s="101"/>
      <c r="G388" s="101">
        <v>48</v>
      </c>
      <c r="H388" s="101">
        <v>22</v>
      </c>
      <c r="I388" s="101" t="s">
        <v>196</v>
      </c>
      <c r="J388" s="101" t="s">
        <v>77</v>
      </c>
      <c r="K388" s="101" t="b">
        <v>0</v>
      </c>
      <c r="L388" s="97">
        <v>2025</v>
      </c>
      <c r="M388" s="98">
        <v>8.6E-3</v>
      </c>
      <c r="N388" s="102">
        <v>41026</v>
      </c>
      <c r="O388" s="102">
        <v>41045</v>
      </c>
    </row>
    <row r="389" spans="1:15">
      <c r="A389" s="99">
        <v>2012</v>
      </c>
      <c r="B389" s="100" t="s">
        <v>192</v>
      </c>
      <c r="C389" s="100" t="s">
        <v>193</v>
      </c>
      <c r="D389" s="101">
        <v>1062000</v>
      </c>
      <c r="E389" s="101">
        <v>0</v>
      </c>
      <c r="F389" s="101"/>
      <c r="G389" s="101">
        <v>48</v>
      </c>
      <c r="H389" s="101">
        <v>22</v>
      </c>
      <c r="I389" s="101" t="s">
        <v>196</v>
      </c>
      <c r="J389" s="101" t="s">
        <v>77</v>
      </c>
      <c r="K389" s="101" t="b">
        <v>0</v>
      </c>
      <c r="L389" s="97">
        <v>2023</v>
      </c>
      <c r="M389" s="98">
        <v>3.78E-2</v>
      </c>
      <c r="N389" s="102">
        <v>41026</v>
      </c>
      <c r="O389" s="102">
        <v>41045</v>
      </c>
    </row>
    <row r="390" spans="1:15">
      <c r="A390" s="99">
        <v>2012</v>
      </c>
      <c r="B390" s="100" t="s">
        <v>192</v>
      </c>
      <c r="C390" s="100" t="s">
        <v>193</v>
      </c>
      <c r="D390" s="101">
        <v>1062000</v>
      </c>
      <c r="E390" s="101">
        <v>0</v>
      </c>
      <c r="F390" s="101"/>
      <c r="G390" s="101">
        <v>55</v>
      </c>
      <c r="H390" s="101">
        <v>28</v>
      </c>
      <c r="I390" s="101" t="s">
        <v>205</v>
      </c>
      <c r="J390" s="101" t="s">
        <v>48</v>
      </c>
      <c r="K390" s="101" t="b">
        <v>0</v>
      </c>
      <c r="L390" s="97">
        <v>2028</v>
      </c>
      <c r="M390" s="98">
        <v>3625279</v>
      </c>
      <c r="N390" s="102">
        <v>41026</v>
      </c>
      <c r="O390" s="102">
        <v>41045</v>
      </c>
    </row>
    <row r="391" spans="1:15">
      <c r="A391" s="99">
        <v>2012</v>
      </c>
      <c r="B391" s="100" t="s">
        <v>192</v>
      </c>
      <c r="C391" s="100" t="s">
        <v>193</v>
      </c>
      <c r="D391" s="101">
        <v>1062000</v>
      </c>
      <c r="E391" s="101">
        <v>0</v>
      </c>
      <c r="F391" s="101"/>
      <c r="G391" s="101">
        <v>51</v>
      </c>
      <c r="H391" s="101">
        <v>24</v>
      </c>
      <c r="I391" s="101" t="s">
        <v>202</v>
      </c>
      <c r="J391" s="101" t="s">
        <v>150</v>
      </c>
      <c r="K391" s="101" t="b">
        <v>1</v>
      </c>
      <c r="L391" s="97">
        <v>2018</v>
      </c>
      <c r="M391" s="98">
        <v>335169184</v>
      </c>
      <c r="N391" s="102">
        <v>41026</v>
      </c>
      <c r="O391" s="102">
        <v>41045</v>
      </c>
    </row>
    <row r="392" spans="1:15">
      <c r="A392" s="99">
        <v>2012</v>
      </c>
      <c r="B392" s="100" t="s">
        <v>192</v>
      </c>
      <c r="C392" s="100" t="s">
        <v>193</v>
      </c>
      <c r="D392" s="101">
        <v>1062000</v>
      </c>
      <c r="E392" s="101">
        <v>0</v>
      </c>
      <c r="F392" s="101"/>
      <c r="G392" s="101">
        <v>55</v>
      </c>
      <c r="H392" s="101">
        <v>28</v>
      </c>
      <c r="I392" s="101" t="s">
        <v>205</v>
      </c>
      <c r="J392" s="101" t="s">
        <v>48</v>
      </c>
      <c r="K392" s="101" t="b">
        <v>0</v>
      </c>
      <c r="L392" s="97">
        <v>2026</v>
      </c>
      <c r="M392" s="98">
        <v>3625279</v>
      </c>
      <c r="N392" s="102">
        <v>41026</v>
      </c>
      <c r="O392" s="102">
        <v>41045</v>
      </c>
    </row>
    <row r="393" spans="1:15">
      <c r="A393" s="99">
        <v>2012</v>
      </c>
      <c r="B393" s="100" t="s">
        <v>192</v>
      </c>
      <c r="C393" s="100" t="s">
        <v>193</v>
      </c>
      <c r="D393" s="101">
        <v>1062000</v>
      </c>
      <c r="E393" s="101">
        <v>0</v>
      </c>
      <c r="F393" s="101"/>
      <c r="G393" s="101">
        <v>57</v>
      </c>
      <c r="H393" s="101">
        <v>30</v>
      </c>
      <c r="I393" s="101" t="s">
        <v>209</v>
      </c>
      <c r="J393" s="101" t="s">
        <v>153</v>
      </c>
      <c r="K393" s="101" t="b">
        <v>0</v>
      </c>
      <c r="L393" s="97">
        <v>2023</v>
      </c>
      <c r="M393" s="98">
        <v>14709433</v>
      </c>
      <c r="N393" s="102">
        <v>41026</v>
      </c>
      <c r="O393" s="102">
        <v>41045</v>
      </c>
    </row>
    <row r="394" spans="1:15">
      <c r="A394" s="99">
        <v>2012</v>
      </c>
      <c r="B394" s="100" t="s">
        <v>192</v>
      </c>
      <c r="C394" s="100" t="s">
        <v>193</v>
      </c>
      <c r="D394" s="101">
        <v>1062000</v>
      </c>
      <c r="E394" s="101">
        <v>0</v>
      </c>
      <c r="F394" s="101"/>
      <c r="G394" s="101">
        <v>9</v>
      </c>
      <c r="H394" s="101" t="s">
        <v>106</v>
      </c>
      <c r="I394" s="101"/>
      <c r="J394" s="101" t="s">
        <v>107</v>
      </c>
      <c r="K394" s="101" t="b">
        <v>0</v>
      </c>
      <c r="L394" s="97">
        <v>2023</v>
      </c>
      <c r="M394" s="98">
        <v>22658946</v>
      </c>
      <c r="N394" s="102">
        <v>41026</v>
      </c>
      <c r="O394" s="102">
        <v>41045</v>
      </c>
    </row>
    <row r="395" spans="1:15">
      <c r="A395" s="99">
        <v>2012</v>
      </c>
      <c r="B395" s="100" t="s">
        <v>192</v>
      </c>
      <c r="C395" s="100" t="s">
        <v>193</v>
      </c>
      <c r="D395" s="101">
        <v>1062000</v>
      </c>
      <c r="E395" s="101">
        <v>0</v>
      </c>
      <c r="F395" s="101"/>
      <c r="G395" s="101">
        <v>48</v>
      </c>
      <c r="H395" s="101">
        <v>22</v>
      </c>
      <c r="I395" s="101" t="s">
        <v>196</v>
      </c>
      <c r="J395" s="101" t="s">
        <v>77</v>
      </c>
      <c r="K395" s="101" t="b">
        <v>0</v>
      </c>
      <c r="L395" s="97">
        <v>2024</v>
      </c>
      <c r="M395" s="98">
        <v>8.8999999999999999E-3</v>
      </c>
      <c r="N395" s="102">
        <v>41026</v>
      </c>
      <c r="O395" s="102">
        <v>41045</v>
      </c>
    </row>
    <row r="396" spans="1:15">
      <c r="A396" s="99">
        <v>2012</v>
      </c>
      <c r="B396" s="100" t="s">
        <v>192</v>
      </c>
      <c r="C396" s="100" t="s">
        <v>193</v>
      </c>
      <c r="D396" s="101">
        <v>1062000</v>
      </c>
      <c r="E396" s="101">
        <v>0</v>
      </c>
      <c r="F396" s="101"/>
      <c r="G396" s="101">
        <v>14</v>
      </c>
      <c r="H396" s="101">
        <v>3</v>
      </c>
      <c r="I396" s="101" t="s">
        <v>195</v>
      </c>
      <c r="J396" s="101" t="s">
        <v>116</v>
      </c>
      <c r="K396" s="101" t="b">
        <v>1</v>
      </c>
      <c r="L396" s="97">
        <v>2020</v>
      </c>
      <c r="M396" s="98">
        <v>28522226</v>
      </c>
      <c r="N396" s="102">
        <v>41026</v>
      </c>
      <c r="O396" s="102">
        <v>41045</v>
      </c>
    </row>
    <row r="397" spans="1:15">
      <c r="A397" s="99">
        <v>2012</v>
      </c>
      <c r="B397" s="100" t="s">
        <v>192</v>
      </c>
      <c r="C397" s="100" t="s">
        <v>193</v>
      </c>
      <c r="D397" s="101">
        <v>1062000</v>
      </c>
      <c r="E397" s="101">
        <v>0</v>
      </c>
      <c r="F397" s="101"/>
      <c r="G397" s="101">
        <v>33</v>
      </c>
      <c r="H397" s="101">
        <v>13</v>
      </c>
      <c r="I397" s="101"/>
      <c r="J397" s="101" t="s">
        <v>66</v>
      </c>
      <c r="K397" s="101" t="b">
        <v>1</v>
      </c>
      <c r="L397" s="97">
        <v>2020</v>
      </c>
      <c r="M397" s="98">
        <v>81193360.370000005</v>
      </c>
      <c r="N397" s="102">
        <v>41026</v>
      </c>
      <c r="O397" s="102">
        <v>41045</v>
      </c>
    </row>
    <row r="398" spans="1:15">
      <c r="A398" s="99">
        <v>2012</v>
      </c>
      <c r="B398" s="100" t="s">
        <v>192</v>
      </c>
      <c r="C398" s="100" t="s">
        <v>193</v>
      </c>
      <c r="D398" s="101">
        <v>1062000</v>
      </c>
      <c r="E398" s="101">
        <v>0</v>
      </c>
      <c r="F398" s="101"/>
      <c r="G398" s="101">
        <v>24</v>
      </c>
      <c r="H398" s="101" t="s">
        <v>128</v>
      </c>
      <c r="I398" s="101"/>
      <c r="J398" s="101" t="s">
        <v>129</v>
      </c>
      <c r="K398" s="101" t="b">
        <v>1</v>
      </c>
      <c r="L398" s="97">
        <v>2024</v>
      </c>
      <c r="M398" s="98">
        <v>108758</v>
      </c>
      <c r="N398" s="102">
        <v>41026</v>
      </c>
      <c r="O398" s="102">
        <v>41045</v>
      </c>
    </row>
    <row r="399" spans="1:15">
      <c r="A399" s="99">
        <v>2012</v>
      </c>
      <c r="B399" s="100" t="s">
        <v>192</v>
      </c>
      <c r="C399" s="100" t="s">
        <v>193</v>
      </c>
      <c r="D399" s="101">
        <v>1062000</v>
      </c>
      <c r="E399" s="101">
        <v>0</v>
      </c>
      <c r="F399" s="101"/>
      <c r="G399" s="101">
        <v>50</v>
      </c>
      <c r="H399" s="101">
        <v>23</v>
      </c>
      <c r="I399" s="101" t="s">
        <v>197</v>
      </c>
      <c r="J399" s="101" t="s">
        <v>149</v>
      </c>
      <c r="K399" s="101" t="b">
        <v>1</v>
      </c>
      <c r="L399" s="97">
        <v>2022</v>
      </c>
      <c r="M399" s="98">
        <v>394789700</v>
      </c>
      <c r="N399" s="102">
        <v>41026</v>
      </c>
      <c r="O399" s="102">
        <v>41045</v>
      </c>
    </row>
    <row r="400" spans="1:15">
      <c r="A400" s="99">
        <v>2012</v>
      </c>
      <c r="B400" s="100" t="s">
        <v>192</v>
      </c>
      <c r="C400" s="100" t="s">
        <v>193</v>
      </c>
      <c r="D400" s="101">
        <v>1062000</v>
      </c>
      <c r="E400" s="101">
        <v>0</v>
      </c>
      <c r="F400" s="101"/>
      <c r="G400" s="101">
        <v>20</v>
      </c>
      <c r="H400" s="101">
        <v>7</v>
      </c>
      <c r="I400" s="101" t="s">
        <v>215</v>
      </c>
      <c r="J400" s="101" t="s">
        <v>12</v>
      </c>
      <c r="K400" s="101" t="b">
        <v>1</v>
      </c>
      <c r="L400" s="97">
        <v>2015</v>
      </c>
      <c r="M400" s="98">
        <v>28743266</v>
      </c>
      <c r="N400" s="102">
        <v>41026</v>
      </c>
      <c r="O400" s="102">
        <v>41045</v>
      </c>
    </row>
    <row r="401" spans="1:15">
      <c r="A401" s="99">
        <v>2012</v>
      </c>
      <c r="B401" s="100" t="s">
        <v>192</v>
      </c>
      <c r="C401" s="100" t="s">
        <v>193</v>
      </c>
      <c r="D401" s="101">
        <v>1062000</v>
      </c>
      <c r="E401" s="101">
        <v>0</v>
      </c>
      <c r="F401" s="101"/>
      <c r="G401" s="101">
        <v>12</v>
      </c>
      <c r="H401" s="101" t="s">
        <v>112</v>
      </c>
      <c r="I401" s="101"/>
      <c r="J401" s="101" t="s">
        <v>113</v>
      </c>
      <c r="K401" s="101" t="b">
        <v>0</v>
      </c>
      <c r="L401" s="97">
        <v>2018</v>
      </c>
      <c r="M401" s="98">
        <v>29465.4</v>
      </c>
      <c r="N401" s="102">
        <v>41026</v>
      </c>
      <c r="O401" s="102">
        <v>41045</v>
      </c>
    </row>
    <row r="402" spans="1:15">
      <c r="A402" s="99">
        <v>2012</v>
      </c>
      <c r="B402" s="100" t="s">
        <v>192</v>
      </c>
      <c r="C402" s="100" t="s">
        <v>193</v>
      </c>
      <c r="D402" s="101">
        <v>1062000</v>
      </c>
      <c r="E402" s="101">
        <v>0</v>
      </c>
      <c r="F402" s="101"/>
      <c r="G402" s="101">
        <v>2</v>
      </c>
      <c r="H402" s="101" t="s">
        <v>94</v>
      </c>
      <c r="I402" s="101"/>
      <c r="J402" s="101" t="s">
        <v>95</v>
      </c>
      <c r="K402" s="101" t="b">
        <v>1</v>
      </c>
      <c r="L402" s="97">
        <v>2018</v>
      </c>
      <c r="M402" s="98">
        <v>350765535</v>
      </c>
      <c r="N402" s="102">
        <v>41026</v>
      </c>
      <c r="O402" s="102">
        <v>41045</v>
      </c>
    </row>
    <row r="403" spans="1:15">
      <c r="A403" s="99">
        <v>2012</v>
      </c>
      <c r="B403" s="100" t="s">
        <v>192</v>
      </c>
      <c r="C403" s="100" t="s">
        <v>193</v>
      </c>
      <c r="D403" s="101">
        <v>1062000</v>
      </c>
      <c r="E403" s="101">
        <v>0</v>
      </c>
      <c r="F403" s="101"/>
      <c r="G403" s="101">
        <v>2</v>
      </c>
      <c r="H403" s="101" t="s">
        <v>94</v>
      </c>
      <c r="I403" s="101"/>
      <c r="J403" s="101" t="s">
        <v>95</v>
      </c>
      <c r="K403" s="101" t="b">
        <v>1</v>
      </c>
      <c r="L403" s="97">
        <v>2014</v>
      </c>
      <c r="M403" s="98">
        <v>318220327</v>
      </c>
      <c r="N403" s="102">
        <v>41026</v>
      </c>
      <c r="O403" s="102">
        <v>41045</v>
      </c>
    </row>
    <row r="404" spans="1:15">
      <c r="A404" s="99">
        <v>2012</v>
      </c>
      <c r="B404" s="100" t="s">
        <v>192</v>
      </c>
      <c r="C404" s="100" t="s">
        <v>193</v>
      </c>
      <c r="D404" s="101">
        <v>1062000</v>
      </c>
      <c r="E404" s="101">
        <v>0</v>
      </c>
      <c r="F404" s="101"/>
      <c r="G404" s="101">
        <v>53</v>
      </c>
      <c r="H404" s="101">
        <v>26</v>
      </c>
      <c r="I404" s="101" t="s">
        <v>210</v>
      </c>
      <c r="J404" s="101" t="s">
        <v>151</v>
      </c>
      <c r="K404" s="101" t="b">
        <v>1</v>
      </c>
      <c r="L404" s="97">
        <v>2018</v>
      </c>
      <c r="M404" s="98">
        <v>360765535</v>
      </c>
      <c r="N404" s="102">
        <v>41026</v>
      </c>
      <c r="O404" s="102">
        <v>41045</v>
      </c>
    </row>
    <row r="405" spans="1:15">
      <c r="A405" s="99">
        <v>2012</v>
      </c>
      <c r="B405" s="100" t="s">
        <v>192</v>
      </c>
      <c r="C405" s="100" t="s">
        <v>193</v>
      </c>
      <c r="D405" s="101">
        <v>1062000</v>
      </c>
      <c r="E405" s="101">
        <v>0</v>
      </c>
      <c r="F405" s="101"/>
      <c r="G405" s="101">
        <v>52</v>
      </c>
      <c r="H405" s="101">
        <v>25</v>
      </c>
      <c r="I405" s="101" t="s">
        <v>214</v>
      </c>
      <c r="J405" s="101" t="s">
        <v>49</v>
      </c>
      <c r="K405" s="101" t="b">
        <v>1</v>
      </c>
      <c r="L405" s="97">
        <v>2016</v>
      </c>
      <c r="M405" s="98">
        <v>12935950</v>
      </c>
      <c r="N405" s="102">
        <v>41026</v>
      </c>
      <c r="O405" s="102">
        <v>41045</v>
      </c>
    </row>
    <row r="406" spans="1:15">
      <c r="A406" s="99">
        <v>2012</v>
      </c>
      <c r="B406" s="100" t="s">
        <v>192</v>
      </c>
      <c r="C406" s="100" t="s">
        <v>193</v>
      </c>
      <c r="D406" s="101">
        <v>1062000</v>
      </c>
      <c r="E406" s="101">
        <v>0</v>
      </c>
      <c r="F406" s="101"/>
      <c r="G406" s="101">
        <v>21</v>
      </c>
      <c r="H406" s="101" t="s">
        <v>122</v>
      </c>
      <c r="I406" s="101"/>
      <c r="J406" s="101" t="s">
        <v>123</v>
      </c>
      <c r="K406" s="101" t="b">
        <v>1</v>
      </c>
      <c r="L406" s="97">
        <v>2017</v>
      </c>
      <c r="M406" s="98">
        <v>15586023</v>
      </c>
      <c r="N406" s="102">
        <v>41026</v>
      </c>
      <c r="O406" s="102">
        <v>41045</v>
      </c>
    </row>
    <row r="407" spans="1:15">
      <c r="A407" s="99">
        <v>2012</v>
      </c>
      <c r="B407" s="100" t="s">
        <v>192</v>
      </c>
      <c r="C407" s="100" t="s">
        <v>193</v>
      </c>
      <c r="D407" s="101">
        <v>1062000</v>
      </c>
      <c r="E407" s="101">
        <v>0</v>
      </c>
      <c r="F407" s="101"/>
      <c r="G407" s="101">
        <v>27</v>
      </c>
      <c r="H407" s="101">
        <v>10</v>
      </c>
      <c r="I407" s="101"/>
      <c r="J407" s="101" t="s">
        <v>18</v>
      </c>
      <c r="K407" s="101" t="b">
        <v>0</v>
      </c>
      <c r="L407" s="97">
        <v>2021</v>
      </c>
      <c r="M407" s="98">
        <v>2135433</v>
      </c>
      <c r="N407" s="102">
        <v>41026</v>
      </c>
      <c r="O407" s="102">
        <v>41045</v>
      </c>
    </row>
    <row r="408" spans="1:15">
      <c r="A408" s="99">
        <v>2012</v>
      </c>
      <c r="B408" s="100" t="s">
        <v>192</v>
      </c>
      <c r="C408" s="100" t="s">
        <v>193</v>
      </c>
      <c r="D408" s="101">
        <v>1062000</v>
      </c>
      <c r="E408" s="101">
        <v>0</v>
      </c>
      <c r="F408" s="101"/>
      <c r="G408" s="101">
        <v>14</v>
      </c>
      <c r="H408" s="101">
        <v>3</v>
      </c>
      <c r="I408" s="101" t="s">
        <v>195</v>
      </c>
      <c r="J408" s="101" t="s">
        <v>116</v>
      </c>
      <c r="K408" s="101" t="b">
        <v>1</v>
      </c>
      <c r="L408" s="97">
        <v>2030</v>
      </c>
      <c r="M408" s="98">
        <v>30767989</v>
      </c>
      <c r="N408" s="102">
        <v>41026</v>
      </c>
      <c r="O408" s="102">
        <v>41045</v>
      </c>
    </row>
    <row r="409" spans="1:15">
      <c r="A409" s="99">
        <v>2012</v>
      </c>
      <c r="B409" s="100" t="s">
        <v>192</v>
      </c>
      <c r="C409" s="100" t="s">
        <v>193</v>
      </c>
      <c r="D409" s="101">
        <v>1062000</v>
      </c>
      <c r="E409" s="101">
        <v>0</v>
      </c>
      <c r="F409" s="101"/>
      <c r="G409" s="101">
        <v>49</v>
      </c>
      <c r="H409" s="101" t="s">
        <v>148</v>
      </c>
      <c r="I409" s="101" t="s">
        <v>199</v>
      </c>
      <c r="J409" s="101" t="s">
        <v>79</v>
      </c>
      <c r="K409" s="101" t="b">
        <v>0</v>
      </c>
      <c r="L409" s="97">
        <v>2018</v>
      </c>
      <c r="M409" s="98">
        <v>38</v>
      </c>
      <c r="N409" s="102">
        <v>41026</v>
      </c>
      <c r="O409" s="102">
        <v>41045</v>
      </c>
    </row>
    <row r="410" spans="1:15">
      <c r="A410" s="99">
        <v>2012</v>
      </c>
      <c r="B410" s="100" t="s">
        <v>192</v>
      </c>
      <c r="C410" s="100" t="s">
        <v>193</v>
      </c>
      <c r="D410" s="101">
        <v>1062000</v>
      </c>
      <c r="E410" s="101">
        <v>0</v>
      </c>
      <c r="F410" s="101"/>
      <c r="G410" s="101">
        <v>5</v>
      </c>
      <c r="H410" s="101" t="s">
        <v>100</v>
      </c>
      <c r="I410" s="101"/>
      <c r="J410" s="101" t="s">
        <v>101</v>
      </c>
      <c r="K410" s="101" t="b">
        <v>1</v>
      </c>
      <c r="L410" s="97">
        <v>2015</v>
      </c>
      <c r="M410" s="98">
        <v>11000000</v>
      </c>
      <c r="N410" s="102">
        <v>41026</v>
      </c>
      <c r="O410" s="102">
        <v>41045</v>
      </c>
    </row>
    <row r="411" spans="1:15">
      <c r="A411" s="99">
        <v>2012</v>
      </c>
      <c r="B411" s="100" t="s">
        <v>192</v>
      </c>
      <c r="C411" s="100" t="s">
        <v>193</v>
      </c>
      <c r="D411" s="101">
        <v>1062000</v>
      </c>
      <c r="E411" s="101">
        <v>0</v>
      </c>
      <c r="F411" s="101"/>
      <c r="G411" s="101">
        <v>52</v>
      </c>
      <c r="H411" s="101">
        <v>25</v>
      </c>
      <c r="I411" s="101" t="s">
        <v>214</v>
      </c>
      <c r="J411" s="101" t="s">
        <v>49</v>
      </c>
      <c r="K411" s="101" t="b">
        <v>1</v>
      </c>
      <c r="L411" s="97">
        <v>2012</v>
      </c>
      <c r="M411" s="98">
        <v>32806677.960000001</v>
      </c>
      <c r="N411" s="102">
        <v>41026</v>
      </c>
      <c r="O411" s="102">
        <v>41045</v>
      </c>
    </row>
    <row r="412" spans="1:15">
      <c r="A412" s="99">
        <v>2012</v>
      </c>
      <c r="B412" s="100" t="s">
        <v>192</v>
      </c>
      <c r="C412" s="100" t="s">
        <v>193</v>
      </c>
      <c r="D412" s="101">
        <v>1062000</v>
      </c>
      <c r="E412" s="101">
        <v>0</v>
      </c>
      <c r="F412" s="101"/>
      <c r="G412" s="101">
        <v>55</v>
      </c>
      <c r="H412" s="101">
        <v>28</v>
      </c>
      <c r="I412" s="101" t="s">
        <v>205</v>
      </c>
      <c r="J412" s="101" t="s">
        <v>48</v>
      </c>
      <c r="K412" s="101" t="b">
        <v>0</v>
      </c>
      <c r="L412" s="97">
        <v>2012</v>
      </c>
      <c r="M412" s="98">
        <v>-56006977.270000003</v>
      </c>
      <c r="N412" s="102">
        <v>41026</v>
      </c>
      <c r="O412" s="102">
        <v>41045</v>
      </c>
    </row>
    <row r="413" spans="1:15">
      <c r="A413" s="99">
        <v>2012</v>
      </c>
      <c r="B413" s="100" t="s">
        <v>192</v>
      </c>
      <c r="C413" s="100" t="s">
        <v>193</v>
      </c>
      <c r="D413" s="101">
        <v>1062000</v>
      </c>
      <c r="E413" s="101">
        <v>0</v>
      </c>
      <c r="F413" s="101"/>
      <c r="G413" s="101">
        <v>27</v>
      </c>
      <c r="H413" s="101">
        <v>10</v>
      </c>
      <c r="I413" s="101"/>
      <c r="J413" s="101" t="s">
        <v>18</v>
      </c>
      <c r="K413" s="101" t="b">
        <v>0</v>
      </c>
      <c r="L413" s="97">
        <v>2018</v>
      </c>
      <c r="M413" s="98">
        <v>8486239</v>
      </c>
      <c r="N413" s="102">
        <v>41026</v>
      </c>
      <c r="O413" s="102">
        <v>41045</v>
      </c>
    </row>
    <row r="414" spans="1:15">
      <c r="A414" s="99">
        <v>2012</v>
      </c>
      <c r="B414" s="100" t="s">
        <v>192</v>
      </c>
      <c r="C414" s="100" t="s">
        <v>193</v>
      </c>
      <c r="D414" s="101">
        <v>1062000</v>
      </c>
      <c r="E414" s="101">
        <v>0</v>
      </c>
      <c r="F414" s="101"/>
      <c r="G414" s="101">
        <v>57</v>
      </c>
      <c r="H414" s="101">
        <v>30</v>
      </c>
      <c r="I414" s="101" t="s">
        <v>209</v>
      </c>
      <c r="J414" s="101" t="s">
        <v>153</v>
      </c>
      <c r="K414" s="101" t="b">
        <v>0</v>
      </c>
      <c r="L414" s="97">
        <v>2015</v>
      </c>
      <c r="M414" s="98">
        <v>20744409</v>
      </c>
      <c r="N414" s="102">
        <v>41026</v>
      </c>
      <c r="O414" s="102">
        <v>41045</v>
      </c>
    </row>
    <row r="415" spans="1:15">
      <c r="A415" s="99">
        <v>2012</v>
      </c>
      <c r="B415" s="100" t="s">
        <v>192</v>
      </c>
      <c r="C415" s="100" t="s">
        <v>193</v>
      </c>
      <c r="D415" s="101">
        <v>1062000</v>
      </c>
      <c r="E415" s="101">
        <v>0</v>
      </c>
      <c r="F415" s="101"/>
      <c r="G415" s="101">
        <v>44</v>
      </c>
      <c r="H415" s="101">
        <v>20</v>
      </c>
      <c r="I415" s="101" t="s">
        <v>207</v>
      </c>
      <c r="J415" s="101" t="s">
        <v>145</v>
      </c>
      <c r="K415" s="101" t="b">
        <v>1</v>
      </c>
      <c r="L415" s="97">
        <v>2017</v>
      </c>
      <c r="M415" s="98">
        <v>6.3299999999999995E-2</v>
      </c>
      <c r="N415" s="102">
        <v>41026</v>
      </c>
      <c r="O415" s="102">
        <v>41045</v>
      </c>
    </row>
    <row r="416" spans="1:15">
      <c r="A416" s="99">
        <v>2012</v>
      </c>
      <c r="B416" s="100" t="s">
        <v>192</v>
      </c>
      <c r="C416" s="100" t="s">
        <v>193</v>
      </c>
      <c r="D416" s="101">
        <v>1062000</v>
      </c>
      <c r="E416" s="101">
        <v>0</v>
      </c>
      <c r="F416" s="101"/>
      <c r="G416" s="101">
        <v>53</v>
      </c>
      <c r="H416" s="101">
        <v>26</v>
      </c>
      <c r="I416" s="101" t="s">
        <v>210</v>
      </c>
      <c r="J416" s="101" t="s">
        <v>151</v>
      </c>
      <c r="K416" s="101" t="b">
        <v>1</v>
      </c>
      <c r="L416" s="97">
        <v>2022</v>
      </c>
      <c r="M416" s="98">
        <v>397789700</v>
      </c>
      <c r="N416" s="102">
        <v>41026</v>
      </c>
      <c r="O416" s="102">
        <v>41045</v>
      </c>
    </row>
    <row r="417" spans="1:15">
      <c r="A417" s="99">
        <v>2012</v>
      </c>
      <c r="B417" s="100" t="s">
        <v>192</v>
      </c>
      <c r="C417" s="100" t="s">
        <v>193</v>
      </c>
      <c r="D417" s="101">
        <v>1062000</v>
      </c>
      <c r="E417" s="101">
        <v>0</v>
      </c>
      <c r="F417" s="101"/>
      <c r="G417" s="101">
        <v>45</v>
      </c>
      <c r="H417" s="101" t="s">
        <v>146</v>
      </c>
      <c r="I417" s="101" t="s">
        <v>203</v>
      </c>
      <c r="J417" s="101" t="s">
        <v>53</v>
      </c>
      <c r="K417" s="101" t="b">
        <v>0</v>
      </c>
      <c r="L417" s="97">
        <v>2022</v>
      </c>
      <c r="M417" s="98">
        <v>6.4199999999999993E-2</v>
      </c>
      <c r="N417" s="102">
        <v>41026</v>
      </c>
      <c r="O417" s="102">
        <v>41045</v>
      </c>
    </row>
    <row r="418" spans="1:15">
      <c r="A418" s="99">
        <v>2012</v>
      </c>
      <c r="B418" s="100" t="s">
        <v>192</v>
      </c>
      <c r="C418" s="100" t="s">
        <v>193</v>
      </c>
      <c r="D418" s="101">
        <v>1062000</v>
      </c>
      <c r="E418" s="101">
        <v>0</v>
      </c>
      <c r="F418" s="101"/>
      <c r="G418" s="101">
        <v>29</v>
      </c>
      <c r="H418" s="101" t="s">
        <v>134</v>
      </c>
      <c r="I418" s="101"/>
      <c r="J418" s="101" t="s">
        <v>115</v>
      </c>
      <c r="K418" s="101" t="b">
        <v>0</v>
      </c>
      <c r="L418" s="97">
        <v>2012</v>
      </c>
      <c r="M418" s="98">
        <v>147433138.58000001</v>
      </c>
      <c r="N418" s="102">
        <v>41026</v>
      </c>
      <c r="O418" s="102">
        <v>41045</v>
      </c>
    </row>
    <row r="419" spans="1:15">
      <c r="A419" s="99">
        <v>2012</v>
      </c>
      <c r="B419" s="100" t="s">
        <v>192</v>
      </c>
      <c r="C419" s="100" t="s">
        <v>193</v>
      </c>
      <c r="D419" s="101">
        <v>1062000</v>
      </c>
      <c r="E419" s="101">
        <v>0</v>
      </c>
      <c r="F419" s="101"/>
      <c r="G419" s="101">
        <v>54</v>
      </c>
      <c r="H419" s="101">
        <v>27</v>
      </c>
      <c r="I419" s="101" t="s">
        <v>213</v>
      </c>
      <c r="J419" s="101" t="s">
        <v>46</v>
      </c>
      <c r="K419" s="101" t="b">
        <v>0</v>
      </c>
      <c r="L419" s="97">
        <v>2027</v>
      </c>
      <c r="M419" s="98">
        <v>454544185</v>
      </c>
      <c r="N419" s="102">
        <v>41026</v>
      </c>
      <c r="O419" s="102">
        <v>41045</v>
      </c>
    </row>
    <row r="420" spans="1:15">
      <c r="A420" s="99">
        <v>2012</v>
      </c>
      <c r="B420" s="100" t="s">
        <v>192</v>
      </c>
      <c r="C420" s="100" t="s">
        <v>193</v>
      </c>
      <c r="D420" s="101">
        <v>1062000</v>
      </c>
      <c r="E420" s="101">
        <v>0</v>
      </c>
      <c r="F420" s="101"/>
      <c r="G420" s="101">
        <v>20</v>
      </c>
      <c r="H420" s="101">
        <v>7</v>
      </c>
      <c r="I420" s="101" t="s">
        <v>215</v>
      </c>
      <c r="J420" s="101" t="s">
        <v>12</v>
      </c>
      <c r="K420" s="101" t="b">
        <v>1</v>
      </c>
      <c r="L420" s="97">
        <v>2012</v>
      </c>
      <c r="M420" s="98">
        <v>22141584.239999998</v>
      </c>
      <c r="N420" s="102">
        <v>41026</v>
      </c>
      <c r="O420" s="102">
        <v>41045</v>
      </c>
    </row>
    <row r="421" spans="1:15">
      <c r="A421" s="99">
        <v>2012</v>
      </c>
      <c r="B421" s="100" t="s">
        <v>192</v>
      </c>
      <c r="C421" s="100" t="s">
        <v>193</v>
      </c>
      <c r="D421" s="101">
        <v>1062000</v>
      </c>
      <c r="E421" s="101">
        <v>0</v>
      </c>
      <c r="F421" s="101"/>
      <c r="G421" s="101">
        <v>27</v>
      </c>
      <c r="H421" s="101">
        <v>10</v>
      </c>
      <c r="I421" s="101"/>
      <c r="J421" s="101" t="s">
        <v>18</v>
      </c>
      <c r="K421" s="101" t="b">
        <v>0</v>
      </c>
      <c r="L421" s="97">
        <v>2019</v>
      </c>
      <c r="M421" s="98">
        <v>4619814</v>
      </c>
      <c r="N421" s="102">
        <v>41026</v>
      </c>
      <c r="O421" s="102">
        <v>41045</v>
      </c>
    </row>
    <row r="422" spans="1:15">
      <c r="A422" s="99">
        <v>2012</v>
      </c>
      <c r="B422" s="100" t="s">
        <v>192</v>
      </c>
      <c r="C422" s="100" t="s">
        <v>193</v>
      </c>
      <c r="D422" s="101">
        <v>1062000</v>
      </c>
      <c r="E422" s="101">
        <v>0</v>
      </c>
      <c r="F422" s="101"/>
      <c r="G422" s="101">
        <v>2</v>
      </c>
      <c r="H422" s="101" t="s">
        <v>94</v>
      </c>
      <c r="I422" s="101"/>
      <c r="J422" s="101" t="s">
        <v>95</v>
      </c>
      <c r="K422" s="101" t="b">
        <v>1</v>
      </c>
      <c r="L422" s="97">
        <v>2024</v>
      </c>
      <c r="M422" s="98">
        <v>418832393</v>
      </c>
      <c r="N422" s="102">
        <v>41026</v>
      </c>
      <c r="O422" s="102">
        <v>41045</v>
      </c>
    </row>
    <row r="423" spans="1:15">
      <c r="A423" s="99">
        <v>2012</v>
      </c>
      <c r="B423" s="100" t="s">
        <v>192</v>
      </c>
      <c r="C423" s="100" t="s">
        <v>193</v>
      </c>
      <c r="D423" s="101">
        <v>1062000</v>
      </c>
      <c r="E423" s="101">
        <v>0</v>
      </c>
      <c r="F423" s="101"/>
      <c r="G423" s="101">
        <v>51</v>
      </c>
      <c r="H423" s="101">
        <v>24</v>
      </c>
      <c r="I423" s="101" t="s">
        <v>202</v>
      </c>
      <c r="J423" s="101" t="s">
        <v>150</v>
      </c>
      <c r="K423" s="101" t="b">
        <v>1</v>
      </c>
      <c r="L423" s="97">
        <v>2015</v>
      </c>
      <c r="M423" s="98">
        <v>309571140</v>
      </c>
      <c r="N423" s="102">
        <v>41026</v>
      </c>
      <c r="O423" s="102">
        <v>41045</v>
      </c>
    </row>
    <row r="424" spans="1:15">
      <c r="A424" s="99">
        <v>2012</v>
      </c>
      <c r="B424" s="100" t="s">
        <v>192</v>
      </c>
      <c r="C424" s="100" t="s">
        <v>193</v>
      </c>
      <c r="D424" s="101">
        <v>1062000</v>
      </c>
      <c r="E424" s="101">
        <v>0</v>
      </c>
      <c r="F424" s="101"/>
      <c r="G424" s="101">
        <v>49</v>
      </c>
      <c r="H424" s="101" t="s">
        <v>148</v>
      </c>
      <c r="I424" s="101" t="s">
        <v>199</v>
      </c>
      <c r="J424" s="101" t="s">
        <v>79</v>
      </c>
      <c r="K424" s="101" t="b">
        <v>0</v>
      </c>
      <c r="L424" s="97">
        <v>2019</v>
      </c>
      <c r="M424" s="98">
        <v>26</v>
      </c>
      <c r="N424" s="102">
        <v>41026</v>
      </c>
      <c r="O424" s="102">
        <v>41045</v>
      </c>
    </row>
    <row r="425" spans="1:15">
      <c r="A425" s="99">
        <v>2012</v>
      </c>
      <c r="B425" s="100" t="s">
        <v>192</v>
      </c>
      <c r="C425" s="100" t="s">
        <v>193</v>
      </c>
      <c r="D425" s="101">
        <v>1062000</v>
      </c>
      <c r="E425" s="101">
        <v>0</v>
      </c>
      <c r="F425" s="101"/>
      <c r="G425" s="101">
        <v>54</v>
      </c>
      <c r="H425" s="101">
        <v>27</v>
      </c>
      <c r="I425" s="101" t="s">
        <v>213</v>
      </c>
      <c r="J425" s="101" t="s">
        <v>46</v>
      </c>
      <c r="K425" s="101" t="b">
        <v>0</v>
      </c>
      <c r="L425" s="97">
        <v>2020</v>
      </c>
      <c r="M425" s="98">
        <v>357427156</v>
      </c>
      <c r="N425" s="102">
        <v>41026</v>
      </c>
      <c r="O425" s="102">
        <v>41045</v>
      </c>
    </row>
    <row r="426" spans="1:15">
      <c r="A426" s="99">
        <v>2012</v>
      </c>
      <c r="B426" s="100" t="s">
        <v>192</v>
      </c>
      <c r="C426" s="100" t="s">
        <v>193</v>
      </c>
      <c r="D426" s="101">
        <v>1062000</v>
      </c>
      <c r="E426" s="101">
        <v>0</v>
      </c>
      <c r="F426" s="101"/>
      <c r="G426" s="101">
        <v>23</v>
      </c>
      <c r="H426" s="101" t="s">
        <v>126</v>
      </c>
      <c r="I426" s="101"/>
      <c r="J426" s="101" t="s">
        <v>127</v>
      </c>
      <c r="K426" s="101" t="b">
        <v>1</v>
      </c>
      <c r="L426" s="97">
        <v>2014</v>
      </c>
      <c r="M426" s="98">
        <v>8134020</v>
      </c>
      <c r="N426" s="102">
        <v>41026</v>
      </c>
      <c r="O426" s="102">
        <v>41045</v>
      </c>
    </row>
    <row r="427" spans="1:15">
      <c r="A427" s="99">
        <v>2012</v>
      </c>
      <c r="B427" s="100" t="s">
        <v>192</v>
      </c>
      <c r="C427" s="100" t="s">
        <v>193</v>
      </c>
      <c r="D427" s="101">
        <v>1062000</v>
      </c>
      <c r="E427" s="101">
        <v>0</v>
      </c>
      <c r="F427" s="101"/>
      <c r="G427" s="101">
        <v>14</v>
      </c>
      <c r="H427" s="101">
        <v>3</v>
      </c>
      <c r="I427" s="101" t="s">
        <v>195</v>
      </c>
      <c r="J427" s="101" t="s">
        <v>116</v>
      </c>
      <c r="K427" s="101" t="b">
        <v>1</v>
      </c>
      <c r="L427" s="97">
        <v>2014</v>
      </c>
      <c r="M427" s="98">
        <v>31754798</v>
      </c>
      <c r="N427" s="102">
        <v>41026</v>
      </c>
      <c r="O427" s="102">
        <v>41045</v>
      </c>
    </row>
    <row r="428" spans="1:15">
      <c r="A428" s="99">
        <v>2012</v>
      </c>
      <c r="B428" s="100" t="s">
        <v>192</v>
      </c>
      <c r="C428" s="100" t="s">
        <v>193</v>
      </c>
      <c r="D428" s="101">
        <v>1062000</v>
      </c>
      <c r="E428" s="101">
        <v>0</v>
      </c>
      <c r="F428" s="101"/>
      <c r="G428" s="101">
        <v>1</v>
      </c>
      <c r="H428" s="101">
        <v>1</v>
      </c>
      <c r="I428" s="101" t="s">
        <v>212</v>
      </c>
      <c r="J428" s="101" t="s">
        <v>93</v>
      </c>
      <c r="K428" s="101" t="b">
        <v>1</v>
      </c>
      <c r="L428" s="97">
        <v>2025</v>
      </c>
      <c r="M428" s="98">
        <v>431897365</v>
      </c>
      <c r="N428" s="102">
        <v>41026</v>
      </c>
      <c r="O428" s="102">
        <v>41045</v>
      </c>
    </row>
    <row r="429" spans="1:15">
      <c r="A429" s="99">
        <v>2012</v>
      </c>
      <c r="B429" s="100" t="s">
        <v>192</v>
      </c>
      <c r="C429" s="100" t="s">
        <v>193</v>
      </c>
      <c r="D429" s="101">
        <v>1062000</v>
      </c>
      <c r="E429" s="101">
        <v>0</v>
      </c>
      <c r="F429" s="101"/>
      <c r="G429" s="101">
        <v>2</v>
      </c>
      <c r="H429" s="101" t="s">
        <v>94</v>
      </c>
      <c r="I429" s="101"/>
      <c r="J429" s="101" t="s">
        <v>95</v>
      </c>
      <c r="K429" s="101" t="b">
        <v>1</v>
      </c>
      <c r="L429" s="97">
        <v>2015</v>
      </c>
      <c r="M429" s="98">
        <v>321105175</v>
      </c>
      <c r="N429" s="102">
        <v>41026</v>
      </c>
      <c r="O429" s="102">
        <v>41045</v>
      </c>
    </row>
    <row r="430" spans="1:15">
      <c r="A430" s="99">
        <v>2012</v>
      </c>
      <c r="B430" s="100" t="s">
        <v>192</v>
      </c>
      <c r="C430" s="100" t="s">
        <v>193</v>
      </c>
      <c r="D430" s="101">
        <v>1062000</v>
      </c>
      <c r="E430" s="101">
        <v>0</v>
      </c>
      <c r="F430" s="101"/>
      <c r="G430" s="101">
        <v>41</v>
      </c>
      <c r="H430" s="101" t="s">
        <v>143</v>
      </c>
      <c r="I430" s="101" t="s">
        <v>211</v>
      </c>
      <c r="J430" s="101" t="s">
        <v>71</v>
      </c>
      <c r="K430" s="101" t="b">
        <v>0</v>
      </c>
      <c r="L430" s="97">
        <v>2019</v>
      </c>
      <c r="M430" s="98">
        <v>0.2767</v>
      </c>
      <c r="N430" s="102">
        <v>41026</v>
      </c>
      <c r="O430" s="102">
        <v>41045</v>
      </c>
    </row>
    <row r="431" spans="1:15">
      <c r="A431" s="99">
        <v>2012</v>
      </c>
      <c r="B431" s="100" t="s">
        <v>192</v>
      </c>
      <c r="C431" s="100" t="s">
        <v>193</v>
      </c>
      <c r="D431" s="101">
        <v>1062000</v>
      </c>
      <c r="E431" s="101">
        <v>0</v>
      </c>
      <c r="F431" s="101"/>
      <c r="G431" s="101">
        <v>37</v>
      </c>
      <c r="H431" s="101">
        <v>16</v>
      </c>
      <c r="I431" s="101"/>
      <c r="J431" s="101" t="s">
        <v>140</v>
      </c>
      <c r="K431" s="101" t="b">
        <v>1</v>
      </c>
      <c r="L431" s="97">
        <v>2024</v>
      </c>
      <c r="M431" s="98">
        <v>3625279</v>
      </c>
      <c r="N431" s="102">
        <v>41026</v>
      </c>
      <c r="O431" s="102">
        <v>41045</v>
      </c>
    </row>
    <row r="432" spans="1:15">
      <c r="A432" s="99">
        <v>2012</v>
      </c>
      <c r="B432" s="100" t="s">
        <v>192</v>
      </c>
      <c r="C432" s="100" t="s">
        <v>193</v>
      </c>
      <c r="D432" s="101">
        <v>1062000</v>
      </c>
      <c r="E432" s="101">
        <v>0</v>
      </c>
      <c r="F432" s="101"/>
      <c r="G432" s="101">
        <v>40</v>
      </c>
      <c r="H432" s="101">
        <v>18</v>
      </c>
      <c r="I432" s="101" t="s">
        <v>194</v>
      </c>
      <c r="J432" s="101" t="s">
        <v>69</v>
      </c>
      <c r="K432" s="101" t="b">
        <v>0</v>
      </c>
      <c r="L432" s="97">
        <v>2015</v>
      </c>
      <c r="M432" s="98">
        <v>0.50419999999999998</v>
      </c>
      <c r="N432" s="102">
        <v>41026</v>
      </c>
      <c r="O432" s="102">
        <v>41045</v>
      </c>
    </row>
    <row r="433" spans="1:15">
      <c r="A433" s="99">
        <v>2012</v>
      </c>
      <c r="B433" s="100" t="s">
        <v>192</v>
      </c>
      <c r="C433" s="100" t="s">
        <v>193</v>
      </c>
      <c r="D433" s="101">
        <v>1062000</v>
      </c>
      <c r="E433" s="101">
        <v>0</v>
      </c>
      <c r="F433" s="101"/>
      <c r="G433" s="101">
        <v>21</v>
      </c>
      <c r="H433" s="101" t="s">
        <v>122</v>
      </c>
      <c r="I433" s="101"/>
      <c r="J433" s="101" t="s">
        <v>123</v>
      </c>
      <c r="K433" s="101" t="b">
        <v>1</v>
      </c>
      <c r="L433" s="97">
        <v>2014</v>
      </c>
      <c r="M433" s="98">
        <v>16900000</v>
      </c>
      <c r="N433" s="102">
        <v>41026</v>
      </c>
      <c r="O433" s="102">
        <v>41045</v>
      </c>
    </row>
    <row r="434" spans="1:15">
      <c r="A434" s="99">
        <v>2012</v>
      </c>
      <c r="B434" s="100" t="s">
        <v>192</v>
      </c>
      <c r="C434" s="100" t="s">
        <v>193</v>
      </c>
      <c r="D434" s="101">
        <v>1062000</v>
      </c>
      <c r="E434" s="101">
        <v>0</v>
      </c>
      <c r="F434" s="101"/>
      <c r="G434" s="101">
        <v>42</v>
      </c>
      <c r="H434" s="101">
        <v>19</v>
      </c>
      <c r="I434" s="101" t="s">
        <v>200</v>
      </c>
      <c r="J434" s="101" t="s">
        <v>72</v>
      </c>
      <c r="K434" s="101" t="b">
        <v>1</v>
      </c>
      <c r="L434" s="97">
        <v>2021</v>
      </c>
      <c r="M434" s="98">
        <v>6.4699999999999994E-2</v>
      </c>
      <c r="N434" s="102">
        <v>41026</v>
      </c>
      <c r="O434" s="102">
        <v>41045</v>
      </c>
    </row>
    <row r="435" spans="1:15">
      <c r="A435" s="99">
        <v>2012</v>
      </c>
      <c r="B435" s="100" t="s">
        <v>192</v>
      </c>
      <c r="C435" s="100" t="s">
        <v>193</v>
      </c>
      <c r="D435" s="101">
        <v>1062000</v>
      </c>
      <c r="E435" s="101">
        <v>0</v>
      </c>
      <c r="F435" s="101"/>
      <c r="G435" s="101">
        <v>43</v>
      </c>
      <c r="H435" s="101" t="s">
        <v>144</v>
      </c>
      <c r="I435" s="101" t="s">
        <v>201</v>
      </c>
      <c r="J435" s="101" t="s">
        <v>74</v>
      </c>
      <c r="K435" s="101" t="b">
        <v>0</v>
      </c>
      <c r="L435" s="97">
        <v>2025</v>
      </c>
      <c r="M435" s="98">
        <v>8.6E-3</v>
      </c>
      <c r="N435" s="102">
        <v>41026</v>
      </c>
      <c r="O435" s="102">
        <v>41045</v>
      </c>
    </row>
    <row r="436" spans="1:15">
      <c r="A436" s="99">
        <v>2012</v>
      </c>
      <c r="B436" s="100" t="s">
        <v>192</v>
      </c>
      <c r="C436" s="100" t="s">
        <v>193</v>
      </c>
      <c r="D436" s="101">
        <v>1062000</v>
      </c>
      <c r="E436" s="101">
        <v>0</v>
      </c>
      <c r="F436" s="101"/>
      <c r="G436" s="101">
        <v>21</v>
      </c>
      <c r="H436" s="101" t="s">
        <v>122</v>
      </c>
      <c r="I436" s="101"/>
      <c r="J436" s="101" t="s">
        <v>123</v>
      </c>
      <c r="K436" s="101" t="b">
        <v>1</v>
      </c>
      <c r="L436" s="97">
        <v>2012</v>
      </c>
      <c r="M436" s="98">
        <v>15146584.24</v>
      </c>
      <c r="N436" s="102">
        <v>41026</v>
      </c>
      <c r="O436" s="102">
        <v>41045</v>
      </c>
    </row>
    <row r="437" spans="1:15">
      <c r="A437" s="99">
        <v>2012</v>
      </c>
      <c r="B437" s="100" t="s">
        <v>192</v>
      </c>
      <c r="C437" s="100" t="s">
        <v>193</v>
      </c>
      <c r="D437" s="101">
        <v>1062000</v>
      </c>
      <c r="E437" s="101">
        <v>0</v>
      </c>
      <c r="F437" s="101"/>
      <c r="G437" s="101">
        <v>27</v>
      </c>
      <c r="H437" s="101">
        <v>10</v>
      </c>
      <c r="I437" s="101"/>
      <c r="J437" s="101" t="s">
        <v>18</v>
      </c>
      <c r="K437" s="101" t="b">
        <v>0</v>
      </c>
      <c r="L437" s="97">
        <v>2027</v>
      </c>
      <c r="M437" s="98">
        <v>24519840</v>
      </c>
      <c r="N437" s="102">
        <v>41026</v>
      </c>
      <c r="O437" s="102">
        <v>41045</v>
      </c>
    </row>
    <row r="438" spans="1:15">
      <c r="A438" s="99">
        <v>2012</v>
      </c>
      <c r="B438" s="100" t="s">
        <v>192</v>
      </c>
      <c r="C438" s="100" t="s">
        <v>193</v>
      </c>
      <c r="D438" s="101">
        <v>1062000</v>
      </c>
      <c r="E438" s="101">
        <v>0</v>
      </c>
      <c r="F438" s="101"/>
      <c r="G438" s="101">
        <v>55</v>
      </c>
      <c r="H438" s="101">
        <v>28</v>
      </c>
      <c r="I438" s="101" t="s">
        <v>205</v>
      </c>
      <c r="J438" s="101" t="s">
        <v>48</v>
      </c>
      <c r="K438" s="101" t="b">
        <v>0</v>
      </c>
      <c r="L438" s="97">
        <v>2023</v>
      </c>
      <c r="M438" s="98">
        <v>14709433</v>
      </c>
      <c r="N438" s="102">
        <v>41026</v>
      </c>
      <c r="O438" s="102">
        <v>41045</v>
      </c>
    </row>
    <row r="439" spans="1:15">
      <c r="A439" s="99">
        <v>2012</v>
      </c>
      <c r="B439" s="100" t="s">
        <v>192</v>
      </c>
      <c r="C439" s="100" t="s">
        <v>193</v>
      </c>
      <c r="D439" s="101">
        <v>1062000</v>
      </c>
      <c r="E439" s="101">
        <v>0</v>
      </c>
      <c r="F439" s="101"/>
      <c r="G439" s="101">
        <v>42</v>
      </c>
      <c r="H439" s="101">
        <v>19</v>
      </c>
      <c r="I439" s="101" t="s">
        <v>200</v>
      </c>
      <c r="J439" s="101" t="s">
        <v>72</v>
      </c>
      <c r="K439" s="101" t="b">
        <v>1</v>
      </c>
      <c r="L439" s="97">
        <v>2014</v>
      </c>
      <c r="M439" s="98">
        <v>7.7100000000000002E-2</v>
      </c>
      <c r="N439" s="102">
        <v>41026</v>
      </c>
      <c r="O439" s="102">
        <v>41045</v>
      </c>
    </row>
    <row r="440" spans="1:15">
      <c r="A440" s="99">
        <v>2012</v>
      </c>
      <c r="B440" s="100" t="s">
        <v>192</v>
      </c>
      <c r="C440" s="100" t="s">
        <v>193</v>
      </c>
      <c r="D440" s="101">
        <v>1062000</v>
      </c>
      <c r="E440" s="101">
        <v>0</v>
      </c>
      <c r="F440" s="101"/>
      <c r="G440" s="101">
        <v>9</v>
      </c>
      <c r="H440" s="101" t="s">
        <v>106</v>
      </c>
      <c r="I440" s="101"/>
      <c r="J440" s="101" t="s">
        <v>107</v>
      </c>
      <c r="K440" s="101" t="b">
        <v>0</v>
      </c>
      <c r="L440" s="97">
        <v>2018</v>
      </c>
      <c r="M440" s="98">
        <v>21033400</v>
      </c>
      <c r="N440" s="102">
        <v>41026</v>
      </c>
      <c r="O440" s="102">
        <v>41045</v>
      </c>
    </row>
    <row r="441" spans="1:15">
      <c r="A441" s="99">
        <v>2012</v>
      </c>
      <c r="B441" s="100" t="s">
        <v>192</v>
      </c>
      <c r="C441" s="100" t="s">
        <v>193</v>
      </c>
      <c r="D441" s="101">
        <v>1062000</v>
      </c>
      <c r="E441" s="101">
        <v>0</v>
      </c>
      <c r="F441" s="101"/>
      <c r="G441" s="101">
        <v>33</v>
      </c>
      <c r="H441" s="101">
        <v>13</v>
      </c>
      <c r="I441" s="101"/>
      <c r="J441" s="101" t="s">
        <v>66</v>
      </c>
      <c r="K441" s="101" t="b">
        <v>1</v>
      </c>
      <c r="L441" s="97">
        <v>2016</v>
      </c>
      <c r="M441" s="98">
        <v>153989495.37</v>
      </c>
      <c r="N441" s="102">
        <v>41026</v>
      </c>
      <c r="O441" s="102">
        <v>41045</v>
      </c>
    </row>
    <row r="442" spans="1:15">
      <c r="A442" s="99">
        <v>2012</v>
      </c>
      <c r="B442" s="100" t="s">
        <v>192</v>
      </c>
      <c r="C442" s="100" t="s">
        <v>193</v>
      </c>
      <c r="D442" s="101">
        <v>1062000</v>
      </c>
      <c r="E442" s="101">
        <v>0</v>
      </c>
      <c r="F442" s="101"/>
      <c r="G442" s="101">
        <v>40</v>
      </c>
      <c r="H442" s="101">
        <v>18</v>
      </c>
      <c r="I442" s="101" t="s">
        <v>194</v>
      </c>
      <c r="J442" s="101" t="s">
        <v>69</v>
      </c>
      <c r="K442" s="101" t="b">
        <v>0</v>
      </c>
      <c r="L442" s="97">
        <v>2023</v>
      </c>
      <c r="M442" s="98">
        <v>5.2999999999999999E-2</v>
      </c>
      <c r="N442" s="102">
        <v>41026</v>
      </c>
      <c r="O442" s="102">
        <v>41045</v>
      </c>
    </row>
    <row r="443" spans="1:15">
      <c r="A443" s="99">
        <v>2012</v>
      </c>
      <c r="B443" s="100" t="s">
        <v>192</v>
      </c>
      <c r="C443" s="100" t="s">
        <v>193</v>
      </c>
      <c r="D443" s="101">
        <v>1062000</v>
      </c>
      <c r="E443" s="101">
        <v>0</v>
      </c>
      <c r="F443" s="101"/>
      <c r="G443" s="101">
        <v>12</v>
      </c>
      <c r="H443" s="101" t="s">
        <v>112</v>
      </c>
      <c r="I443" s="101"/>
      <c r="J443" s="101" t="s">
        <v>113</v>
      </c>
      <c r="K443" s="101" t="b">
        <v>0</v>
      </c>
      <c r="L443" s="97">
        <v>2021</v>
      </c>
      <c r="M443" s="98">
        <v>29221.4</v>
      </c>
      <c r="N443" s="102">
        <v>41026</v>
      </c>
      <c r="O443" s="102">
        <v>41045</v>
      </c>
    </row>
    <row r="444" spans="1:15">
      <c r="A444" s="99">
        <v>2012</v>
      </c>
      <c r="B444" s="100" t="s">
        <v>192</v>
      </c>
      <c r="C444" s="100" t="s">
        <v>193</v>
      </c>
      <c r="D444" s="101">
        <v>1062000</v>
      </c>
      <c r="E444" s="101">
        <v>0</v>
      </c>
      <c r="F444" s="101"/>
      <c r="G444" s="101">
        <v>42</v>
      </c>
      <c r="H444" s="101">
        <v>19</v>
      </c>
      <c r="I444" s="101" t="s">
        <v>200</v>
      </c>
      <c r="J444" s="101" t="s">
        <v>72</v>
      </c>
      <c r="K444" s="101" t="b">
        <v>1</v>
      </c>
      <c r="L444" s="97">
        <v>2024</v>
      </c>
      <c r="M444" s="98">
        <v>8.8999999999999999E-3</v>
      </c>
      <c r="N444" s="102">
        <v>41026</v>
      </c>
      <c r="O444" s="102">
        <v>41045</v>
      </c>
    </row>
    <row r="445" spans="1:15">
      <c r="A445" s="99">
        <v>2012</v>
      </c>
      <c r="B445" s="100" t="s">
        <v>192</v>
      </c>
      <c r="C445" s="100" t="s">
        <v>193</v>
      </c>
      <c r="D445" s="101">
        <v>1062000</v>
      </c>
      <c r="E445" s="101">
        <v>0</v>
      </c>
      <c r="F445" s="101"/>
      <c r="G445" s="101">
        <v>26</v>
      </c>
      <c r="H445" s="101">
        <v>9</v>
      </c>
      <c r="I445" s="101" t="s">
        <v>204</v>
      </c>
      <c r="J445" s="101" t="s">
        <v>131</v>
      </c>
      <c r="K445" s="101" t="b">
        <v>0</v>
      </c>
      <c r="L445" s="97">
        <v>2012</v>
      </c>
      <c r="M445" s="98">
        <v>132254173.62</v>
      </c>
      <c r="N445" s="102">
        <v>41026</v>
      </c>
      <c r="O445" s="102">
        <v>41045</v>
      </c>
    </row>
    <row r="446" spans="1:15">
      <c r="A446" s="99">
        <v>2012</v>
      </c>
      <c r="B446" s="100" t="s">
        <v>192</v>
      </c>
      <c r="C446" s="100" t="s">
        <v>193</v>
      </c>
      <c r="D446" s="101">
        <v>1062000</v>
      </c>
      <c r="E446" s="101">
        <v>0</v>
      </c>
      <c r="F446" s="101"/>
      <c r="G446" s="101">
        <v>40</v>
      </c>
      <c r="H446" s="101">
        <v>18</v>
      </c>
      <c r="I446" s="101" t="s">
        <v>194</v>
      </c>
      <c r="J446" s="101" t="s">
        <v>69</v>
      </c>
      <c r="K446" s="101" t="b">
        <v>0</v>
      </c>
      <c r="L446" s="97">
        <v>2013</v>
      </c>
      <c r="M446" s="98">
        <v>0.46929999999999999</v>
      </c>
      <c r="N446" s="102">
        <v>41026</v>
      </c>
      <c r="O446" s="102">
        <v>41045</v>
      </c>
    </row>
    <row r="447" spans="1:15">
      <c r="A447" s="99">
        <v>2012</v>
      </c>
      <c r="B447" s="100" t="s">
        <v>192</v>
      </c>
      <c r="C447" s="100" t="s">
        <v>193</v>
      </c>
      <c r="D447" s="101">
        <v>1062000</v>
      </c>
      <c r="E447" s="101">
        <v>0</v>
      </c>
      <c r="F447" s="101"/>
      <c r="G447" s="101">
        <v>4</v>
      </c>
      <c r="H447" s="101" t="s">
        <v>98</v>
      </c>
      <c r="I447" s="101"/>
      <c r="J447" s="101" t="s">
        <v>99</v>
      </c>
      <c r="K447" s="101" t="b">
        <v>1</v>
      </c>
      <c r="L447" s="97">
        <v>2028</v>
      </c>
      <c r="M447" s="98">
        <v>500000</v>
      </c>
      <c r="N447" s="102">
        <v>41026</v>
      </c>
      <c r="O447" s="102">
        <v>41045</v>
      </c>
    </row>
    <row r="448" spans="1:15">
      <c r="A448" s="99">
        <v>2012</v>
      </c>
      <c r="B448" s="100" t="s">
        <v>192</v>
      </c>
      <c r="C448" s="100" t="s">
        <v>193</v>
      </c>
      <c r="D448" s="101">
        <v>1062000</v>
      </c>
      <c r="E448" s="101">
        <v>0</v>
      </c>
      <c r="F448" s="101"/>
      <c r="G448" s="101">
        <v>23</v>
      </c>
      <c r="H448" s="101" t="s">
        <v>126</v>
      </c>
      <c r="I448" s="101"/>
      <c r="J448" s="101" t="s">
        <v>127</v>
      </c>
      <c r="K448" s="101" t="b">
        <v>1</v>
      </c>
      <c r="L448" s="97">
        <v>2017</v>
      </c>
      <c r="M448" s="98">
        <v>8428185</v>
      </c>
      <c r="N448" s="102">
        <v>41026</v>
      </c>
      <c r="O448" s="102">
        <v>41045</v>
      </c>
    </row>
    <row r="449" spans="1:15">
      <c r="A449" s="99">
        <v>2012</v>
      </c>
      <c r="B449" s="100" t="s">
        <v>192</v>
      </c>
      <c r="C449" s="100" t="s">
        <v>193</v>
      </c>
      <c r="D449" s="101">
        <v>1062000</v>
      </c>
      <c r="E449" s="101">
        <v>0</v>
      </c>
      <c r="F449" s="101"/>
      <c r="G449" s="101">
        <v>7</v>
      </c>
      <c r="H449" s="101">
        <v>2</v>
      </c>
      <c r="I449" s="101"/>
      <c r="J449" s="101" t="s">
        <v>3</v>
      </c>
      <c r="K449" s="101" t="b">
        <v>1</v>
      </c>
      <c r="L449" s="97">
        <v>2030</v>
      </c>
      <c r="M449" s="98">
        <v>469839791</v>
      </c>
      <c r="N449" s="102">
        <v>41026</v>
      </c>
      <c r="O449" s="102">
        <v>41045</v>
      </c>
    </row>
    <row r="450" spans="1:15">
      <c r="A450" s="99">
        <v>2012</v>
      </c>
      <c r="B450" s="100" t="s">
        <v>192</v>
      </c>
      <c r="C450" s="100" t="s">
        <v>193</v>
      </c>
      <c r="D450" s="101">
        <v>1062000</v>
      </c>
      <c r="E450" s="101">
        <v>0</v>
      </c>
      <c r="F450" s="101"/>
      <c r="G450" s="101">
        <v>21</v>
      </c>
      <c r="H450" s="101" t="s">
        <v>122</v>
      </c>
      <c r="I450" s="101"/>
      <c r="J450" s="101" t="s">
        <v>123</v>
      </c>
      <c r="K450" s="101" t="b">
        <v>1</v>
      </c>
      <c r="L450" s="97">
        <v>2015</v>
      </c>
      <c r="M450" s="98">
        <v>20744409</v>
      </c>
      <c r="N450" s="102">
        <v>41026</v>
      </c>
      <c r="O450" s="102">
        <v>41045</v>
      </c>
    </row>
    <row r="451" spans="1:15">
      <c r="A451" s="99">
        <v>2012</v>
      </c>
      <c r="B451" s="100" t="s">
        <v>192</v>
      </c>
      <c r="C451" s="100" t="s">
        <v>193</v>
      </c>
      <c r="D451" s="101">
        <v>1062000</v>
      </c>
      <c r="E451" s="101">
        <v>0</v>
      </c>
      <c r="F451" s="101"/>
      <c r="G451" s="101">
        <v>50</v>
      </c>
      <c r="H451" s="101">
        <v>23</v>
      </c>
      <c r="I451" s="101" t="s">
        <v>197</v>
      </c>
      <c r="J451" s="101" t="s">
        <v>149</v>
      </c>
      <c r="K451" s="101" t="b">
        <v>1</v>
      </c>
      <c r="L451" s="97">
        <v>2025</v>
      </c>
      <c r="M451" s="98">
        <v>431397365</v>
      </c>
      <c r="N451" s="102">
        <v>41026</v>
      </c>
      <c r="O451" s="102">
        <v>41045</v>
      </c>
    </row>
    <row r="452" spans="1:15">
      <c r="A452" s="99">
        <v>2012</v>
      </c>
      <c r="B452" s="100" t="s">
        <v>192</v>
      </c>
      <c r="C452" s="100" t="s">
        <v>193</v>
      </c>
      <c r="D452" s="101">
        <v>1062000</v>
      </c>
      <c r="E452" s="101">
        <v>0</v>
      </c>
      <c r="F452" s="101"/>
      <c r="G452" s="101">
        <v>14</v>
      </c>
      <c r="H452" s="101">
        <v>3</v>
      </c>
      <c r="I452" s="101" t="s">
        <v>195</v>
      </c>
      <c r="J452" s="101" t="s">
        <v>116</v>
      </c>
      <c r="K452" s="101" t="b">
        <v>1</v>
      </c>
      <c r="L452" s="97">
        <v>2029</v>
      </c>
      <c r="M452" s="98">
        <v>29886397</v>
      </c>
      <c r="N452" s="102">
        <v>41026</v>
      </c>
      <c r="O452" s="102">
        <v>41045</v>
      </c>
    </row>
    <row r="453" spans="1:15">
      <c r="A453" s="99">
        <v>2012</v>
      </c>
      <c r="B453" s="100" t="s">
        <v>192</v>
      </c>
      <c r="C453" s="100" t="s">
        <v>193</v>
      </c>
      <c r="D453" s="101">
        <v>1062000</v>
      </c>
      <c r="E453" s="101">
        <v>0</v>
      </c>
      <c r="F453" s="101"/>
      <c r="G453" s="101">
        <v>5</v>
      </c>
      <c r="H453" s="101" t="s">
        <v>100</v>
      </c>
      <c r="I453" s="101"/>
      <c r="J453" s="101" t="s">
        <v>101</v>
      </c>
      <c r="K453" s="101" t="b">
        <v>1</v>
      </c>
      <c r="L453" s="97">
        <v>2016</v>
      </c>
      <c r="M453" s="98">
        <v>11300000</v>
      </c>
      <c r="N453" s="102">
        <v>41026</v>
      </c>
      <c r="O453" s="102">
        <v>41045</v>
      </c>
    </row>
    <row r="454" spans="1:15">
      <c r="A454" s="99">
        <v>2012</v>
      </c>
      <c r="B454" s="100" t="s">
        <v>192</v>
      </c>
      <c r="C454" s="100" t="s">
        <v>193</v>
      </c>
      <c r="D454" s="101">
        <v>1062000</v>
      </c>
      <c r="E454" s="101">
        <v>0</v>
      </c>
      <c r="F454" s="101"/>
      <c r="G454" s="101">
        <v>54</v>
      </c>
      <c r="H454" s="101">
        <v>27</v>
      </c>
      <c r="I454" s="101" t="s">
        <v>213</v>
      </c>
      <c r="J454" s="101" t="s">
        <v>46</v>
      </c>
      <c r="K454" s="101" t="b">
        <v>0</v>
      </c>
      <c r="L454" s="97">
        <v>2029</v>
      </c>
      <c r="M454" s="98">
        <v>482416254.63</v>
      </c>
      <c r="N454" s="102">
        <v>41026</v>
      </c>
      <c r="O454" s="102">
        <v>41045</v>
      </c>
    </row>
    <row r="455" spans="1:15">
      <c r="A455" s="99">
        <v>2012</v>
      </c>
      <c r="B455" s="100" t="s">
        <v>192</v>
      </c>
      <c r="C455" s="100" t="s">
        <v>193</v>
      </c>
      <c r="D455" s="101">
        <v>1062000</v>
      </c>
      <c r="E455" s="101">
        <v>0</v>
      </c>
      <c r="F455" s="101"/>
      <c r="G455" s="101">
        <v>19</v>
      </c>
      <c r="H455" s="101">
        <v>6</v>
      </c>
      <c r="I455" s="101" t="s">
        <v>198</v>
      </c>
      <c r="J455" s="101" t="s">
        <v>121</v>
      </c>
      <c r="K455" s="101" t="b">
        <v>0</v>
      </c>
      <c r="L455" s="97">
        <v>2013</v>
      </c>
      <c r="M455" s="98">
        <v>111211949.34999999</v>
      </c>
      <c r="N455" s="102">
        <v>41026</v>
      </c>
      <c r="O455" s="102">
        <v>41045</v>
      </c>
    </row>
    <row r="456" spans="1:15">
      <c r="A456" s="99">
        <v>2012</v>
      </c>
      <c r="B456" s="100" t="s">
        <v>192</v>
      </c>
      <c r="C456" s="100" t="s">
        <v>193</v>
      </c>
      <c r="D456" s="101">
        <v>1062000</v>
      </c>
      <c r="E456" s="101">
        <v>0</v>
      </c>
      <c r="F456" s="101"/>
      <c r="G456" s="101">
        <v>52</v>
      </c>
      <c r="H456" s="101">
        <v>25</v>
      </c>
      <c r="I456" s="101" t="s">
        <v>214</v>
      </c>
      <c r="J456" s="101" t="s">
        <v>49</v>
      </c>
      <c r="K456" s="101" t="b">
        <v>1</v>
      </c>
      <c r="L456" s="97">
        <v>2029</v>
      </c>
      <c r="M456" s="98">
        <v>29350144</v>
      </c>
      <c r="N456" s="102">
        <v>41026</v>
      </c>
      <c r="O456" s="102">
        <v>41045</v>
      </c>
    </row>
    <row r="457" spans="1:15">
      <c r="A457" s="99">
        <v>2012</v>
      </c>
      <c r="B457" s="100" t="s">
        <v>192</v>
      </c>
      <c r="C457" s="100" t="s">
        <v>193</v>
      </c>
      <c r="D457" s="101">
        <v>1062000</v>
      </c>
      <c r="E457" s="101">
        <v>0</v>
      </c>
      <c r="F457" s="101"/>
      <c r="G457" s="101">
        <v>24</v>
      </c>
      <c r="H457" s="101" t="s">
        <v>128</v>
      </c>
      <c r="I457" s="101"/>
      <c r="J457" s="101" t="s">
        <v>129</v>
      </c>
      <c r="K457" s="101" t="b">
        <v>1</v>
      </c>
      <c r="L457" s="97">
        <v>2015</v>
      </c>
      <c r="M457" s="98">
        <v>7998857</v>
      </c>
      <c r="N457" s="102">
        <v>41026</v>
      </c>
      <c r="O457" s="102">
        <v>41045</v>
      </c>
    </row>
    <row r="458" spans="1:15">
      <c r="A458" s="99">
        <v>2012</v>
      </c>
      <c r="B458" s="100" t="s">
        <v>192</v>
      </c>
      <c r="C458" s="100" t="s">
        <v>193</v>
      </c>
      <c r="D458" s="101">
        <v>1062000</v>
      </c>
      <c r="E458" s="101">
        <v>0</v>
      </c>
      <c r="F458" s="101"/>
      <c r="G458" s="101">
        <v>4</v>
      </c>
      <c r="H458" s="101" t="s">
        <v>98</v>
      </c>
      <c r="I458" s="101"/>
      <c r="J458" s="101" t="s">
        <v>99</v>
      </c>
      <c r="K458" s="101" t="b">
        <v>1</v>
      </c>
      <c r="L458" s="97">
        <v>2020</v>
      </c>
      <c r="M458" s="98">
        <v>6000000</v>
      </c>
      <c r="N458" s="102">
        <v>41026</v>
      </c>
      <c r="O458" s="102">
        <v>41045</v>
      </c>
    </row>
    <row r="459" spans="1:15">
      <c r="A459" s="99">
        <v>2012</v>
      </c>
      <c r="B459" s="100" t="s">
        <v>192</v>
      </c>
      <c r="C459" s="100" t="s">
        <v>193</v>
      </c>
      <c r="D459" s="101">
        <v>1062000</v>
      </c>
      <c r="E459" s="101">
        <v>0</v>
      </c>
      <c r="F459" s="101"/>
      <c r="G459" s="101">
        <v>33</v>
      </c>
      <c r="H459" s="101">
        <v>13</v>
      </c>
      <c r="I459" s="101"/>
      <c r="J459" s="101" t="s">
        <v>66</v>
      </c>
      <c r="K459" s="101" t="b">
        <v>1</v>
      </c>
      <c r="L459" s="97">
        <v>2013</v>
      </c>
      <c r="M459" s="98">
        <v>185607919.37</v>
      </c>
      <c r="N459" s="102">
        <v>41026</v>
      </c>
      <c r="O459" s="102">
        <v>41045</v>
      </c>
    </row>
    <row r="460" spans="1:15">
      <c r="A460" s="99">
        <v>2012</v>
      </c>
      <c r="B460" s="100" t="s">
        <v>192</v>
      </c>
      <c r="C460" s="100" t="s">
        <v>193</v>
      </c>
      <c r="D460" s="101">
        <v>1062000</v>
      </c>
      <c r="E460" s="101">
        <v>0</v>
      </c>
      <c r="F460" s="101"/>
      <c r="G460" s="101">
        <v>56</v>
      </c>
      <c r="H460" s="101">
        <v>29</v>
      </c>
      <c r="I460" s="101" t="s">
        <v>216</v>
      </c>
      <c r="J460" s="101" t="s">
        <v>152</v>
      </c>
      <c r="K460" s="101" t="b">
        <v>0</v>
      </c>
      <c r="L460" s="97">
        <v>2013</v>
      </c>
      <c r="M460" s="98">
        <v>46371641.189999998</v>
      </c>
      <c r="N460" s="102">
        <v>41026</v>
      </c>
      <c r="O460" s="102">
        <v>41045</v>
      </c>
    </row>
    <row r="461" spans="1:15">
      <c r="A461" s="99">
        <v>2012</v>
      </c>
      <c r="B461" s="100" t="s">
        <v>192</v>
      </c>
      <c r="C461" s="100" t="s">
        <v>193</v>
      </c>
      <c r="D461" s="101">
        <v>1062000</v>
      </c>
      <c r="E461" s="101">
        <v>0</v>
      </c>
      <c r="F461" s="101"/>
      <c r="G461" s="101">
        <v>47</v>
      </c>
      <c r="H461" s="101" t="s">
        <v>147</v>
      </c>
      <c r="I461" s="101" t="s">
        <v>206</v>
      </c>
      <c r="J461" s="101" t="s">
        <v>76</v>
      </c>
      <c r="K461" s="101" t="b">
        <v>0</v>
      </c>
      <c r="L461" s="97">
        <v>2012</v>
      </c>
      <c r="M461" s="98">
        <v>132</v>
      </c>
      <c r="N461" s="102">
        <v>41026</v>
      </c>
      <c r="O461" s="102">
        <v>41045</v>
      </c>
    </row>
    <row r="462" spans="1:15">
      <c r="A462" s="99">
        <v>2012</v>
      </c>
      <c r="B462" s="100" t="s">
        <v>192</v>
      </c>
      <c r="C462" s="100" t="s">
        <v>193</v>
      </c>
      <c r="D462" s="101">
        <v>1062000</v>
      </c>
      <c r="E462" s="101">
        <v>0</v>
      </c>
      <c r="F462" s="101"/>
      <c r="G462" s="101">
        <v>1</v>
      </c>
      <c r="H462" s="101">
        <v>1</v>
      </c>
      <c r="I462" s="101" t="s">
        <v>212</v>
      </c>
      <c r="J462" s="101" t="s">
        <v>93</v>
      </c>
      <c r="K462" s="101" t="b">
        <v>1</v>
      </c>
      <c r="L462" s="97">
        <v>2027</v>
      </c>
      <c r="M462" s="98">
        <v>458169464</v>
      </c>
      <c r="N462" s="102">
        <v>41026</v>
      </c>
      <c r="O462" s="102">
        <v>41045</v>
      </c>
    </row>
    <row r="463" spans="1:15">
      <c r="A463" s="99">
        <v>2012</v>
      </c>
      <c r="B463" s="100" t="s">
        <v>192</v>
      </c>
      <c r="C463" s="100" t="s">
        <v>193</v>
      </c>
      <c r="D463" s="101">
        <v>1062000</v>
      </c>
      <c r="E463" s="101">
        <v>0</v>
      </c>
      <c r="F463" s="101"/>
      <c r="G463" s="101">
        <v>56</v>
      </c>
      <c r="H463" s="101">
        <v>29</v>
      </c>
      <c r="I463" s="101" t="s">
        <v>216</v>
      </c>
      <c r="J463" s="101" t="s">
        <v>152</v>
      </c>
      <c r="K463" s="101" t="b">
        <v>0</v>
      </c>
      <c r="L463" s="97">
        <v>2012</v>
      </c>
      <c r="M463" s="98">
        <v>71153561.510000005</v>
      </c>
      <c r="N463" s="102">
        <v>41026</v>
      </c>
      <c r="O463" s="102">
        <v>41045</v>
      </c>
    </row>
    <row r="464" spans="1:15">
      <c r="A464" s="99">
        <v>2012</v>
      </c>
      <c r="B464" s="100" t="s">
        <v>192</v>
      </c>
      <c r="C464" s="100" t="s">
        <v>193</v>
      </c>
      <c r="D464" s="101">
        <v>1062000</v>
      </c>
      <c r="E464" s="101">
        <v>0</v>
      </c>
      <c r="F464" s="101"/>
      <c r="G464" s="101">
        <v>43</v>
      </c>
      <c r="H464" s="101" t="s">
        <v>144</v>
      </c>
      <c r="I464" s="101" t="s">
        <v>201</v>
      </c>
      <c r="J464" s="101" t="s">
        <v>74</v>
      </c>
      <c r="K464" s="101" t="b">
        <v>0</v>
      </c>
      <c r="L464" s="97">
        <v>2022</v>
      </c>
      <c r="M464" s="98">
        <v>6.1699999999999998E-2</v>
      </c>
      <c r="N464" s="102">
        <v>41026</v>
      </c>
      <c r="O464" s="102">
        <v>41045</v>
      </c>
    </row>
    <row r="465" spans="1:15">
      <c r="A465" s="99">
        <v>2012</v>
      </c>
      <c r="B465" s="100" t="s">
        <v>192</v>
      </c>
      <c r="C465" s="100" t="s">
        <v>193</v>
      </c>
      <c r="D465" s="101">
        <v>1062000</v>
      </c>
      <c r="E465" s="101">
        <v>0</v>
      </c>
      <c r="F465" s="101"/>
      <c r="G465" s="101">
        <v>7</v>
      </c>
      <c r="H465" s="101">
        <v>2</v>
      </c>
      <c r="I465" s="101"/>
      <c r="J465" s="101" t="s">
        <v>3</v>
      </c>
      <c r="K465" s="101" t="b">
        <v>1</v>
      </c>
      <c r="L465" s="97">
        <v>2028</v>
      </c>
      <c r="M465" s="98">
        <v>442869065</v>
      </c>
      <c r="N465" s="102">
        <v>41026</v>
      </c>
      <c r="O465" s="102">
        <v>41045</v>
      </c>
    </row>
    <row r="466" spans="1:15">
      <c r="A466" s="99">
        <v>2012</v>
      </c>
      <c r="B466" s="100" t="s">
        <v>192</v>
      </c>
      <c r="C466" s="100" t="s">
        <v>193</v>
      </c>
      <c r="D466" s="101">
        <v>1062000</v>
      </c>
      <c r="E466" s="101">
        <v>0</v>
      </c>
      <c r="F466" s="101"/>
      <c r="G466" s="101">
        <v>19</v>
      </c>
      <c r="H466" s="101">
        <v>6</v>
      </c>
      <c r="I466" s="101" t="s">
        <v>198</v>
      </c>
      <c r="J466" s="101" t="s">
        <v>121</v>
      </c>
      <c r="K466" s="101" t="b">
        <v>0</v>
      </c>
      <c r="L466" s="97">
        <v>2015</v>
      </c>
      <c r="M466" s="98">
        <v>38505626</v>
      </c>
      <c r="N466" s="102">
        <v>41026</v>
      </c>
      <c r="O466" s="102">
        <v>41045</v>
      </c>
    </row>
    <row r="467" spans="1:15">
      <c r="A467" s="99">
        <v>2012</v>
      </c>
      <c r="B467" s="100" t="s">
        <v>192</v>
      </c>
      <c r="C467" s="100" t="s">
        <v>193</v>
      </c>
      <c r="D467" s="101">
        <v>1062000</v>
      </c>
      <c r="E467" s="101">
        <v>0</v>
      </c>
      <c r="F467" s="101"/>
      <c r="G467" s="101">
        <v>4</v>
      </c>
      <c r="H467" s="101" t="s">
        <v>98</v>
      </c>
      <c r="I467" s="101"/>
      <c r="J467" s="101" t="s">
        <v>99</v>
      </c>
      <c r="K467" s="101" t="b">
        <v>1</v>
      </c>
      <c r="L467" s="97">
        <v>2014</v>
      </c>
      <c r="M467" s="98">
        <v>6323096</v>
      </c>
      <c r="N467" s="102">
        <v>41026</v>
      </c>
      <c r="O467" s="102">
        <v>41045</v>
      </c>
    </row>
    <row r="468" spans="1:15">
      <c r="A468" s="99">
        <v>2012</v>
      </c>
      <c r="B468" s="100" t="s">
        <v>192</v>
      </c>
      <c r="C468" s="100" t="s">
        <v>193</v>
      </c>
      <c r="D468" s="101">
        <v>1062000</v>
      </c>
      <c r="E468" s="101">
        <v>0</v>
      </c>
      <c r="F468" s="101"/>
      <c r="G468" s="101">
        <v>5</v>
      </c>
      <c r="H468" s="101" t="s">
        <v>100</v>
      </c>
      <c r="I468" s="101"/>
      <c r="J468" s="101" t="s">
        <v>101</v>
      </c>
      <c r="K468" s="101" t="b">
        <v>1</v>
      </c>
      <c r="L468" s="97">
        <v>2023</v>
      </c>
      <c r="M468" s="98">
        <v>3500000</v>
      </c>
      <c r="N468" s="102">
        <v>41026</v>
      </c>
      <c r="O468" s="102">
        <v>41045</v>
      </c>
    </row>
    <row r="469" spans="1:15">
      <c r="A469" s="99">
        <v>2012</v>
      </c>
      <c r="B469" s="100" t="s">
        <v>192</v>
      </c>
      <c r="C469" s="100" t="s">
        <v>193</v>
      </c>
      <c r="D469" s="101">
        <v>1062000</v>
      </c>
      <c r="E469" s="101">
        <v>0</v>
      </c>
      <c r="F469" s="101"/>
      <c r="G469" s="101">
        <v>52</v>
      </c>
      <c r="H469" s="101">
        <v>25</v>
      </c>
      <c r="I469" s="101" t="s">
        <v>214</v>
      </c>
      <c r="J469" s="101" t="s">
        <v>49</v>
      </c>
      <c r="K469" s="101" t="b">
        <v>1</v>
      </c>
      <c r="L469" s="97">
        <v>2028</v>
      </c>
      <c r="M469" s="98">
        <v>28494230</v>
      </c>
      <c r="N469" s="102">
        <v>41026</v>
      </c>
      <c r="O469" s="102">
        <v>41045</v>
      </c>
    </row>
    <row r="470" spans="1:15">
      <c r="A470" s="99">
        <v>2012</v>
      </c>
      <c r="B470" s="100" t="s">
        <v>192</v>
      </c>
      <c r="C470" s="100" t="s">
        <v>193</v>
      </c>
      <c r="D470" s="101">
        <v>1062000</v>
      </c>
      <c r="E470" s="101">
        <v>0</v>
      </c>
      <c r="F470" s="101"/>
      <c r="G470" s="101">
        <v>44</v>
      </c>
      <c r="H470" s="101">
        <v>20</v>
      </c>
      <c r="I470" s="101" t="s">
        <v>207</v>
      </c>
      <c r="J470" s="101" t="s">
        <v>145</v>
      </c>
      <c r="K470" s="101" t="b">
        <v>1</v>
      </c>
      <c r="L470" s="97">
        <v>2026</v>
      </c>
      <c r="M470" s="98">
        <v>6.1400000000000003E-2</v>
      </c>
      <c r="N470" s="102">
        <v>41026</v>
      </c>
      <c r="O470" s="102">
        <v>41045</v>
      </c>
    </row>
    <row r="471" spans="1:15">
      <c r="A471" s="99">
        <v>2012</v>
      </c>
      <c r="B471" s="100" t="s">
        <v>192</v>
      </c>
      <c r="C471" s="100" t="s">
        <v>193</v>
      </c>
      <c r="D471" s="101">
        <v>1062000</v>
      </c>
      <c r="E471" s="101">
        <v>0</v>
      </c>
      <c r="F471" s="101"/>
      <c r="G471" s="101">
        <v>20</v>
      </c>
      <c r="H471" s="101">
        <v>7</v>
      </c>
      <c r="I471" s="101" t="s">
        <v>215</v>
      </c>
      <c r="J471" s="101" t="s">
        <v>12</v>
      </c>
      <c r="K471" s="101" t="b">
        <v>1</v>
      </c>
      <c r="L471" s="97">
        <v>2013</v>
      </c>
      <c r="M471" s="98">
        <v>25037864</v>
      </c>
      <c r="N471" s="102">
        <v>41026</v>
      </c>
      <c r="O471" s="102">
        <v>41045</v>
      </c>
    </row>
    <row r="472" spans="1:15">
      <c r="A472" s="99">
        <v>2012</v>
      </c>
      <c r="B472" s="100" t="s">
        <v>192</v>
      </c>
      <c r="C472" s="100" t="s">
        <v>193</v>
      </c>
      <c r="D472" s="101">
        <v>1062000</v>
      </c>
      <c r="E472" s="101">
        <v>0</v>
      </c>
      <c r="F472" s="101"/>
      <c r="G472" s="101">
        <v>1</v>
      </c>
      <c r="H472" s="101">
        <v>1</v>
      </c>
      <c r="I472" s="101" t="s">
        <v>212</v>
      </c>
      <c r="J472" s="101" t="s">
        <v>93</v>
      </c>
      <c r="K472" s="101" t="b">
        <v>1</v>
      </c>
      <c r="L472" s="97">
        <v>2023</v>
      </c>
      <c r="M472" s="98">
        <v>410133391</v>
      </c>
      <c r="N472" s="102">
        <v>41026</v>
      </c>
      <c r="O472" s="102">
        <v>41045</v>
      </c>
    </row>
    <row r="473" spans="1:15">
      <c r="A473" s="99">
        <v>2012</v>
      </c>
      <c r="B473" s="100" t="s">
        <v>192</v>
      </c>
      <c r="C473" s="100" t="s">
        <v>193</v>
      </c>
      <c r="D473" s="101">
        <v>1062000</v>
      </c>
      <c r="E473" s="101">
        <v>0</v>
      </c>
      <c r="F473" s="101"/>
      <c r="G473" s="101">
        <v>33</v>
      </c>
      <c r="H473" s="101">
        <v>13</v>
      </c>
      <c r="I473" s="101"/>
      <c r="J473" s="101" t="s">
        <v>66</v>
      </c>
      <c r="K473" s="101" t="b">
        <v>1</v>
      </c>
      <c r="L473" s="97">
        <v>2014</v>
      </c>
      <c r="M473" s="98">
        <v>192201464.37</v>
      </c>
      <c r="N473" s="102">
        <v>41026</v>
      </c>
      <c r="O473" s="102">
        <v>41045</v>
      </c>
    </row>
    <row r="474" spans="1:15">
      <c r="A474" s="99">
        <v>2012</v>
      </c>
      <c r="B474" s="100" t="s">
        <v>192</v>
      </c>
      <c r="C474" s="100" t="s">
        <v>193</v>
      </c>
      <c r="D474" s="101">
        <v>1062000</v>
      </c>
      <c r="E474" s="101">
        <v>0</v>
      </c>
      <c r="F474" s="101"/>
      <c r="G474" s="101">
        <v>20</v>
      </c>
      <c r="H474" s="101">
        <v>7</v>
      </c>
      <c r="I474" s="101" t="s">
        <v>215</v>
      </c>
      <c r="J474" s="101" t="s">
        <v>12</v>
      </c>
      <c r="K474" s="101" t="b">
        <v>1</v>
      </c>
      <c r="L474" s="97">
        <v>2028</v>
      </c>
      <c r="M474" s="98">
        <v>3661532</v>
      </c>
      <c r="N474" s="102">
        <v>41026</v>
      </c>
      <c r="O474" s="102">
        <v>41045</v>
      </c>
    </row>
    <row r="475" spans="1:15">
      <c r="A475" s="99">
        <v>2012</v>
      </c>
      <c r="B475" s="100" t="s">
        <v>192</v>
      </c>
      <c r="C475" s="100" t="s">
        <v>193</v>
      </c>
      <c r="D475" s="101">
        <v>1062000</v>
      </c>
      <c r="E475" s="101">
        <v>0</v>
      </c>
      <c r="F475" s="101"/>
      <c r="G475" s="101">
        <v>42</v>
      </c>
      <c r="H475" s="101">
        <v>19</v>
      </c>
      <c r="I475" s="101" t="s">
        <v>200</v>
      </c>
      <c r="J475" s="101" t="s">
        <v>72</v>
      </c>
      <c r="K475" s="101" t="b">
        <v>1</v>
      </c>
      <c r="L475" s="97">
        <v>2028</v>
      </c>
      <c r="M475" s="98">
        <v>7.7999999999999996E-3</v>
      </c>
      <c r="N475" s="102">
        <v>41026</v>
      </c>
      <c r="O475" s="102">
        <v>41045</v>
      </c>
    </row>
    <row r="476" spans="1:15">
      <c r="A476" s="99">
        <v>2012</v>
      </c>
      <c r="B476" s="100" t="s">
        <v>192</v>
      </c>
      <c r="C476" s="100" t="s">
        <v>193</v>
      </c>
      <c r="D476" s="101">
        <v>1062000</v>
      </c>
      <c r="E476" s="101">
        <v>0</v>
      </c>
      <c r="F476" s="101"/>
      <c r="G476" s="101">
        <v>19</v>
      </c>
      <c r="H476" s="101">
        <v>6</v>
      </c>
      <c r="I476" s="101" t="s">
        <v>198</v>
      </c>
      <c r="J476" s="101" t="s">
        <v>121</v>
      </c>
      <c r="K476" s="101" t="b">
        <v>0</v>
      </c>
      <c r="L476" s="97">
        <v>2026</v>
      </c>
      <c r="M476" s="98">
        <v>27392717</v>
      </c>
      <c r="N476" s="102">
        <v>41026</v>
      </c>
      <c r="O476" s="102">
        <v>41045</v>
      </c>
    </row>
    <row r="477" spans="1:15">
      <c r="A477" s="99">
        <v>2012</v>
      </c>
      <c r="B477" s="100" t="s">
        <v>192</v>
      </c>
      <c r="C477" s="100" t="s">
        <v>193</v>
      </c>
      <c r="D477" s="101">
        <v>1062000</v>
      </c>
      <c r="E477" s="101">
        <v>0</v>
      </c>
      <c r="F477" s="101"/>
      <c r="G477" s="101">
        <v>50</v>
      </c>
      <c r="H477" s="101">
        <v>23</v>
      </c>
      <c r="I477" s="101" t="s">
        <v>197</v>
      </c>
      <c r="J477" s="101" t="s">
        <v>149</v>
      </c>
      <c r="K477" s="101" t="b">
        <v>1</v>
      </c>
      <c r="L477" s="97">
        <v>2023</v>
      </c>
      <c r="M477" s="98">
        <v>406633391</v>
      </c>
      <c r="N477" s="102">
        <v>41026</v>
      </c>
      <c r="O477" s="102">
        <v>41045</v>
      </c>
    </row>
    <row r="478" spans="1:15">
      <c r="A478" s="99">
        <v>2012</v>
      </c>
      <c r="B478" s="100" t="s">
        <v>192</v>
      </c>
      <c r="C478" s="100" t="s">
        <v>193</v>
      </c>
      <c r="D478" s="101">
        <v>1062000</v>
      </c>
      <c r="E478" s="101">
        <v>0</v>
      </c>
      <c r="F478" s="101"/>
      <c r="G478" s="101">
        <v>43</v>
      </c>
      <c r="H478" s="101" t="s">
        <v>144</v>
      </c>
      <c r="I478" s="101" t="s">
        <v>201</v>
      </c>
      <c r="J478" s="101" t="s">
        <v>74</v>
      </c>
      <c r="K478" s="101" t="b">
        <v>0</v>
      </c>
      <c r="L478" s="97">
        <v>2014</v>
      </c>
      <c r="M478" s="98">
        <v>7.4499999999999997E-2</v>
      </c>
      <c r="N478" s="102">
        <v>41026</v>
      </c>
      <c r="O478" s="102">
        <v>41045</v>
      </c>
    </row>
    <row r="479" spans="1:15">
      <c r="A479" s="99">
        <v>2012</v>
      </c>
      <c r="B479" s="100" t="s">
        <v>192</v>
      </c>
      <c r="C479" s="100" t="s">
        <v>193</v>
      </c>
      <c r="D479" s="101">
        <v>1062000</v>
      </c>
      <c r="E479" s="101">
        <v>0</v>
      </c>
      <c r="F479" s="101"/>
      <c r="G479" s="101">
        <v>55</v>
      </c>
      <c r="H479" s="101">
        <v>28</v>
      </c>
      <c r="I479" s="101" t="s">
        <v>205</v>
      </c>
      <c r="J479" s="101" t="s">
        <v>48</v>
      </c>
      <c r="K479" s="101" t="b">
        <v>0</v>
      </c>
      <c r="L479" s="97">
        <v>2016</v>
      </c>
      <c r="M479" s="98">
        <v>17467560</v>
      </c>
      <c r="N479" s="102">
        <v>41026</v>
      </c>
      <c r="O479" s="102">
        <v>41045</v>
      </c>
    </row>
    <row r="480" spans="1:15">
      <c r="A480" s="99">
        <v>2012</v>
      </c>
      <c r="B480" s="100" t="s">
        <v>192</v>
      </c>
      <c r="C480" s="100" t="s">
        <v>193</v>
      </c>
      <c r="D480" s="101">
        <v>1062000</v>
      </c>
      <c r="E480" s="101">
        <v>0</v>
      </c>
      <c r="F480" s="101"/>
      <c r="G480" s="101">
        <v>12</v>
      </c>
      <c r="H480" s="101" t="s">
        <v>112</v>
      </c>
      <c r="I480" s="101"/>
      <c r="J480" s="101" t="s">
        <v>113</v>
      </c>
      <c r="K480" s="101" t="b">
        <v>0</v>
      </c>
      <c r="L480" s="97">
        <v>2014</v>
      </c>
      <c r="M480" s="98">
        <v>249994.7</v>
      </c>
      <c r="N480" s="102">
        <v>41026</v>
      </c>
      <c r="O480" s="102">
        <v>41045</v>
      </c>
    </row>
    <row r="481" spans="1:15">
      <c r="A481" s="99">
        <v>2012</v>
      </c>
      <c r="B481" s="100" t="s">
        <v>192</v>
      </c>
      <c r="C481" s="100" t="s">
        <v>193</v>
      </c>
      <c r="D481" s="101">
        <v>1062000</v>
      </c>
      <c r="E481" s="101">
        <v>0</v>
      </c>
      <c r="F481" s="101"/>
      <c r="G481" s="101">
        <v>41</v>
      </c>
      <c r="H481" s="101" t="s">
        <v>143</v>
      </c>
      <c r="I481" s="101" t="s">
        <v>211</v>
      </c>
      <c r="J481" s="101" t="s">
        <v>71</v>
      </c>
      <c r="K481" s="101" t="b">
        <v>0</v>
      </c>
      <c r="L481" s="97">
        <v>2022</v>
      </c>
      <c r="M481" s="98">
        <v>9.1700000000000004E-2</v>
      </c>
      <c r="N481" s="102">
        <v>41026</v>
      </c>
      <c r="O481" s="102">
        <v>41045</v>
      </c>
    </row>
    <row r="482" spans="1:15">
      <c r="A482" s="99">
        <v>2012</v>
      </c>
      <c r="B482" s="100" t="s">
        <v>192</v>
      </c>
      <c r="C482" s="100" t="s">
        <v>193</v>
      </c>
      <c r="D482" s="101">
        <v>1062000</v>
      </c>
      <c r="E482" s="101">
        <v>0</v>
      </c>
      <c r="F482" s="101"/>
      <c r="G482" s="101">
        <v>54</v>
      </c>
      <c r="H482" s="101">
        <v>27</v>
      </c>
      <c r="I482" s="101" t="s">
        <v>213</v>
      </c>
      <c r="J482" s="101" t="s">
        <v>46</v>
      </c>
      <c r="K482" s="101" t="b">
        <v>0</v>
      </c>
      <c r="L482" s="97">
        <v>2023</v>
      </c>
      <c r="M482" s="98">
        <v>395423958</v>
      </c>
      <c r="N482" s="102">
        <v>41026</v>
      </c>
      <c r="O482" s="102">
        <v>41045</v>
      </c>
    </row>
    <row r="483" spans="1:15">
      <c r="A483" s="99">
        <v>2012</v>
      </c>
      <c r="B483" s="100" t="s">
        <v>192</v>
      </c>
      <c r="C483" s="100" t="s">
        <v>193</v>
      </c>
      <c r="D483" s="101">
        <v>1062000</v>
      </c>
      <c r="E483" s="101">
        <v>0</v>
      </c>
      <c r="F483" s="101"/>
      <c r="G483" s="101">
        <v>6</v>
      </c>
      <c r="H483" s="101" t="s">
        <v>102</v>
      </c>
      <c r="I483" s="101"/>
      <c r="J483" s="101" t="s">
        <v>103</v>
      </c>
      <c r="K483" s="101" t="b">
        <v>1</v>
      </c>
      <c r="L483" s="97">
        <v>2013</v>
      </c>
      <c r="M483" s="98">
        <v>67131262</v>
      </c>
      <c r="N483" s="102">
        <v>41026</v>
      </c>
      <c r="O483" s="102">
        <v>41045</v>
      </c>
    </row>
    <row r="484" spans="1:15">
      <c r="A484" s="99">
        <v>2012</v>
      </c>
      <c r="B484" s="100" t="s">
        <v>192</v>
      </c>
      <c r="C484" s="100" t="s">
        <v>193</v>
      </c>
      <c r="D484" s="101">
        <v>1062000</v>
      </c>
      <c r="E484" s="101">
        <v>0</v>
      </c>
      <c r="F484" s="101"/>
      <c r="G484" s="101">
        <v>23</v>
      </c>
      <c r="H484" s="101" t="s">
        <v>126</v>
      </c>
      <c r="I484" s="101"/>
      <c r="J484" s="101" t="s">
        <v>127</v>
      </c>
      <c r="K484" s="101" t="b">
        <v>1</v>
      </c>
      <c r="L484" s="97">
        <v>2012</v>
      </c>
      <c r="M484" s="98">
        <v>6995000</v>
      </c>
      <c r="N484" s="102">
        <v>41026</v>
      </c>
      <c r="O484" s="102">
        <v>41045</v>
      </c>
    </row>
    <row r="485" spans="1:15">
      <c r="A485" s="99">
        <v>2012</v>
      </c>
      <c r="B485" s="100" t="s">
        <v>192</v>
      </c>
      <c r="C485" s="100" t="s">
        <v>193</v>
      </c>
      <c r="D485" s="101">
        <v>1062000</v>
      </c>
      <c r="E485" s="101">
        <v>0</v>
      </c>
      <c r="F485" s="101"/>
      <c r="G485" s="101">
        <v>50</v>
      </c>
      <c r="H485" s="101">
        <v>23</v>
      </c>
      <c r="I485" s="101" t="s">
        <v>197</v>
      </c>
      <c r="J485" s="101" t="s">
        <v>149</v>
      </c>
      <c r="K485" s="101" t="b">
        <v>1</v>
      </c>
      <c r="L485" s="97">
        <v>2027</v>
      </c>
      <c r="M485" s="98">
        <v>457669464</v>
      </c>
      <c r="N485" s="102">
        <v>41026</v>
      </c>
      <c r="O485" s="102">
        <v>41045</v>
      </c>
    </row>
    <row r="486" spans="1:15">
      <c r="A486" s="99">
        <v>2012</v>
      </c>
      <c r="B486" s="100" t="s">
        <v>192</v>
      </c>
      <c r="C486" s="100" t="s">
        <v>193</v>
      </c>
      <c r="D486" s="101">
        <v>1062000</v>
      </c>
      <c r="E486" s="101">
        <v>0</v>
      </c>
      <c r="F486" s="101"/>
      <c r="G486" s="101">
        <v>53</v>
      </c>
      <c r="H486" s="101">
        <v>26</v>
      </c>
      <c r="I486" s="101" t="s">
        <v>210</v>
      </c>
      <c r="J486" s="101" t="s">
        <v>151</v>
      </c>
      <c r="K486" s="101" t="b">
        <v>1</v>
      </c>
      <c r="L486" s="97">
        <v>2013</v>
      </c>
      <c r="M486" s="98">
        <v>395472749.97000003</v>
      </c>
      <c r="N486" s="102">
        <v>41026</v>
      </c>
      <c r="O486" s="102">
        <v>41045</v>
      </c>
    </row>
    <row r="487" spans="1:15">
      <c r="A487" s="99">
        <v>2012</v>
      </c>
      <c r="B487" s="100" t="s">
        <v>192</v>
      </c>
      <c r="C487" s="100" t="s">
        <v>193</v>
      </c>
      <c r="D487" s="101">
        <v>1062000</v>
      </c>
      <c r="E487" s="101">
        <v>0</v>
      </c>
      <c r="F487" s="101"/>
      <c r="G487" s="101">
        <v>51</v>
      </c>
      <c r="H487" s="101">
        <v>24</v>
      </c>
      <c r="I487" s="101" t="s">
        <v>202</v>
      </c>
      <c r="J487" s="101" t="s">
        <v>150</v>
      </c>
      <c r="K487" s="101" t="b">
        <v>1</v>
      </c>
      <c r="L487" s="97">
        <v>2013</v>
      </c>
      <c r="M487" s="98">
        <v>292260809.62</v>
      </c>
      <c r="N487" s="102">
        <v>41026</v>
      </c>
      <c r="O487" s="102">
        <v>41045</v>
      </c>
    </row>
    <row r="488" spans="1:15">
      <c r="A488" s="99">
        <v>2012</v>
      </c>
      <c r="B488" s="100" t="s">
        <v>192</v>
      </c>
      <c r="C488" s="100" t="s">
        <v>193</v>
      </c>
      <c r="D488" s="101">
        <v>1062000</v>
      </c>
      <c r="E488" s="101">
        <v>0</v>
      </c>
      <c r="F488" s="101"/>
      <c r="G488" s="101">
        <v>41</v>
      </c>
      <c r="H488" s="101" t="s">
        <v>143</v>
      </c>
      <c r="I488" s="101" t="s">
        <v>211</v>
      </c>
      <c r="J488" s="101" t="s">
        <v>71</v>
      </c>
      <c r="K488" s="101" t="b">
        <v>0</v>
      </c>
      <c r="L488" s="97">
        <v>2016</v>
      </c>
      <c r="M488" s="98">
        <v>0.45040000000000002</v>
      </c>
      <c r="N488" s="102">
        <v>41026</v>
      </c>
      <c r="O488" s="102">
        <v>41045</v>
      </c>
    </row>
    <row r="489" spans="1:15">
      <c r="A489" s="99">
        <v>2012</v>
      </c>
      <c r="B489" s="100" t="s">
        <v>192</v>
      </c>
      <c r="C489" s="100" t="s">
        <v>193</v>
      </c>
      <c r="D489" s="101">
        <v>1062000</v>
      </c>
      <c r="E489" s="101">
        <v>0</v>
      </c>
      <c r="F489" s="101"/>
      <c r="G489" s="101">
        <v>1</v>
      </c>
      <c r="H489" s="101">
        <v>1</v>
      </c>
      <c r="I489" s="101" t="s">
        <v>212</v>
      </c>
      <c r="J489" s="101" t="s">
        <v>93</v>
      </c>
      <c r="K489" s="101" t="b">
        <v>1</v>
      </c>
      <c r="L489" s="97">
        <v>2015</v>
      </c>
      <c r="M489" s="98">
        <v>340077909</v>
      </c>
      <c r="N489" s="102">
        <v>41026</v>
      </c>
      <c r="O489" s="102">
        <v>41045</v>
      </c>
    </row>
    <row r="490" spans="1:15">
      <c r="A490" s="99">
        <v>2012</v>
      </c>
      <c r="B490" s="100" t="s">
        <v>192</v>
      </c>
      <c r="C490" s="100" t="s">
        <v>193</v>
      </c>
      <c r="D490" s="101">
        <v>1062000</v>
      </c>
      <c r="E490" s="101">
        <v>0</v>
      </c>
      <c r="F490" s="101"/>
      <c r="G490" s="101">
        <v>20</v>
      </c>
      <c r="H490" s="101">
        <v>7</v>
      </c>
      <c r="I490" s="101" t="s">
        <v>215</v>
      </c>
      <c r="J490" s="101" t="s">
        <v>12</v>
      </c>
      <c r="K490" s="101" t="b">
        <v>1</v>
      </c>
      <c r="L490" s="97">
        <v>2029</v>
      </c>
      <c r="M490" s="98">
        <v>3661532.37</v>
      </c>
      <c r="N490" s="102">
        <v>41026</v>
      </c>
      <c r="O490" s="102">
        <v>41045</v>
      </c>
    </row>
    <row r="491" spans="1:15">
      <c r="A491" s="99">
        <v>2012</v>
      </c>
      <c r="B491" s="100" t="s">
        <v>192</v>
      </c>
      <c r="C491" s="100" t="s">
        <v>193</v>
      </c>
      <c r="D491" s="101">
        <v>1062000</v>
      </c>
      <c r="E491" s="101">
        <v>0</v>
      </c>
      <c r="F491" s="101"/>
      <c r="G491" s="101">
        <v>12</v>
      </c>
      <c r="H491" s="101" t="s">
        <v>112</v>
      </c>
      <c r="I491" s="101"/>
      <c r="J491" s="101" t="s">
        <v>113</v>
      </c>
      <c r="K491" s="101" t="b">
        <v>0</v>
      </c>
      <c r="L491" s="97">
        <v>2028</v>
      </c>
      <c r="M491" s="98">
        <v>28419.4</v>
      </c>
      <c r="N491" s="102">
        <v>41026</v>
      </c>
      <c r="O491" s="102">
        <v>41045</v>
      </c>
    </row>
    <row r="492" spans="1:15">
      <c r="A492" s="99">
        <v>2012</v>
      </c>
      <c r="B492" s="100" t="s">
        <v>192</v>
      </c>
      <c r="C492" s="100" t="s">
        <v>193</v>
      </c>
      <c r="D492" s="101">
        <v>1062000</v>
      </c>
      <c r="E492" s="101">
        <v>0</v>
      </c>
      <c r="F492" s="101"/>
      <c r="G492" s="101">
        <v>27</v>
      </c>
      <c r="H492" s="101">
        <v>10</v>
      </c>
      <c r="I492" s="101"/>
      <c r="J492" s="101" t="s">
        <v>18</v>
      </c>
      <c r="K492" s="101" t="b">
        <v>0</v>
      </c>
      <c r="L492" s="97">
        <v>2023</v>
      </c>
      <c r="M492" s="98">
        <v>12605600</v>
      </c>
      <c r="N492" s="102">
        <v>41026</v>
      </c>
      <c r="O492" s="102">
        <v>41045</v>
      </c>
    </row>
    <row r="493" spans="1:15">
      <c r="A493" s="99">
        <v>2012</v>
      </c>
      <c r="B493" s="100" t="s">
        <v>192</v>
      </c>
      <c r="C493" s="100" t="s">
        <v>193</v>
      </c>
      <c r="D493" s="101">
        <v>1062000</v>
      </c>
      <c r="E493" s="101">
        <v>0</v>
      </c>
      <c r="F493" s="101"/>
      <c r="G493" s="101">
        <v>44</v>
      </c>
      <c r="H493" s="101">
        <v>20</v>
      </c>
      <c r="I493" s="101" t="s">
        <v>207</v>
      </c>
      <c r="J493" s="101" t="s">
        <v>145</v>
      </c>
      <c r="K493" s="101" t="b">
        <v>1</v>
      </c>
      <c r="L493" s="97">
        <v>2030</v>
      </c>
      <c r="M493" s="98">
        <v>6.1499999999999999E-2</v>
      </c>
      <c r="N493" s="102">
        <v>41026</v>
      </c>
      <c r="O493" s="102">
        <v>41045</v>
      </c>
    </row>
    <row r="494" spans="1:15">
      <c r="A494" s="99">
        <v>2012</v>
      </c>
      <c r="B494" s="100" t="s">
        <v>192</v>
      </c>
      <c r="C494" s="100" t="s">
        <v>193</v>
      </c>
      <c r="D494" s="101">
        <v>1062000</v>
      </c>
      <c r="E494" s="101">
        <v>0</v>
      </c>
      <c r="F494" s="101"/>
      <c r="G494" s="101">
        <v>55</v>
      </c>
      <c r="H494" s="101">
        <v>28</v>
      </c>
      <c r="I494" s="101" t="s">
        <v>205</v>
      </c>
      <c r="J494" s="101" t="s">
        <v>48</v>
      </c>
      <c r="K494" s="101" t="b">
        <v>0</v>
      </c>
      <c r="L494" s="97">
        <v>2027</v>
      </c>
      <c r="M494" s="98">
        <v>3625279</v>
      </c>
      <c r="N494" s="102">
        <v>41026</v>
      </c>
      <c r="O494" s="102">
        <v>41045</v>
      </c>
    </row>
    <row r="495" spans="1:15">
      <c r="A495" s="99">
        <v>2012</v>
      </c>
      <c r="B495" s="100" t="s">
        <v>192</v>
      </c>
      <c r="C495" s="100" t="s">
        <v>193</v>
      </c>
      <c r="D495" s="101">
        <v>1062000</v>
      </c>
      <c r="E495" s="101">
        <v>0</v>
      </c>
      <c r="F495" s="101"/>
      <c r="G495" s="101">
        <v>5</v>
      </c>
      <c r="H495" s="101" t="s">
        <v>100</v>
      </c>
      <c r="I495" s="101"/>
      <c r="J495" s="101" t="s">
        <v>101</v>
      </c>
      <c r="K495" s="101" t="b">
        <v>1</v>
      </c>
      <c r="L495" s="97">
        <v>2025</v>
      </c>
      <c r="M495" s="98">
        <v>500000</v>
      </c>
      <c r="N495" s="102">
        <v>41026</v>
      </c>
      <c r="O495" s="102">
        <v>41045</v>
      </c>
    </row>
    <row r="496" spans="1:15">
      <c r="A496" s="99">
        <v>2012</v>
      </c>
      <c r="B496" s="100" t="s">
        <v>192</v>
      </c>
      <c r="C496" s="100" t="s">
        <v>193</v>
      </c>
      <c r="D496" s="101">
        <v>1062000</v>
      </c>
      <c r="E496" s="101">
        <v>0</v>
      </c>
      <c r="F496" s="101"/>
      <c r="G496" s="101">
        <v>5</v>
      </c>
      <c r="H496" s="101" t="s">
        <v>100</v>
      </c>
      <c r="I496" s="101"/>
      <c r="J496" s="101" t="s">
        <v>101</v>
      </c>
      <c r="K496" s="101" t="b">
        <v>1</v>
      </c>
      <c r="L496" s="97">
        <v>2029</v>
      </c>
      <c r="M496" s="98">
        <v>500000</v>
      </c>
      <c r="N496" s="102">
        <v>41026</v>
      </c>
      <c r="O496" s="102">
        <v>41045</v>
      </c>
    </row>
    <row r="497" spans="1:15">
      <c r="A497" s="99">
        <v>2012</v>
      </c>
      <c r="B497" s="100" t="s">
        <v>192</v>
      </c>
      <c r="C497" s="100" t="s">
        <v>193</v>
      </c>
      <c r="D497" s="101">
        <v>1062000</v>
      </c>
      <c r="E497" s="101">
        <v>0</v>
      </c>
      <c r="F497" s="101"/>
      <c r="G497" s="101">
        <v>8</v>
      </c>
      <c r="H497" s="101" t="s">
        <v>104</v>
      </c>
      <c r="I497" s="101"/>
      <c r="J497" s="101" t="s">
        <v>105</v>
      </c>
      <c r="K497" s="101" t="b">
        <v>0</v>
      </c>
      <c r="L497" s="97">
        <v>2019</v>
      </c>
      <c r="M497" s="98">
        <v>153156809</v>
      </c>
      <c r="N497" s="102">
        <v>41026</v>
      </c>
      <c r="O497" s="102">
        <v>41045</v>
      </c>
    </row>
    <row r="498" spans="1:15">
      <c r="A498" s="99">
        <v>2012</v>
      </c>
      <c r="B498" s="100" t="s">
        <v>192</v>
      </c>
      <c r="C498" s="100" t="s">
        <v>193</v>
      </c>
      <c r="D498" s="101">
        <v>1062000</v>
      </c>
      <c r="E498" s="101">
        <v>0</v>
      </c>
      <c r="F498" s="101"/>
      <c r="G498" s="101">
        <v>57</v>
      </c>
      <c r="H498" s="101">
        <v>30</v>
      </c>
      <c r="I498" s="101" t="s">
        <v>209</v>
      </c>
      <c r="J498" s="101" t="s">
        <v>153</v>
      </c>
      <c r="K498" s="101" t="b">
        <v>0</v>
      </c>
      <c r="L498" s="97">
        <v>2028</v>
      </c>
      <c r="M498" s="98">
        <v>3625279</v>
      </c>
      <c r="N498" s="102">
        <v>41026</v>
      </c>
      <c r="O498" s="102">
        <v>41045</v>
      </c>
    </row>
    <row r="499" spans="1:15">
      <c r="A499" s="99">
        <v>2012</v>
      </c>
      <c r="B499" s="100" t="s">
        <v>192</v>
      </c>
      <c r="C499" s="100" t="s">
        <v>193</v>
      </c>
      <c r="D499" s="101">
        <v>1062000</v>
      </c>
      <c r="E499" s="101">
        <v>0</v>
      </c>
      <c r="F499" s="101"/>
      <c r="G499" s="101">
        <v>9</v>
      </c>
      <c r="H499" s="101" t="s">
        <v>106</v>
      </c>
      <c r="I499" s="101"/>
      <c r="J499" s="101" t="s">
        <v>107</v>
      </c>
      <c r="K499" s="101" t="b">
        <v>0</v>
      </c>
      <c r="L499" s="97">
        <v>2020</v>
      </c>
      <c r="M499" s="98">
        <v>21669135</v>
      </c>
      <c r="N499" s="102">
        <v>41026</v>
      </c>
      <c r="O499" s="102">
        <v>41045</v>
      </c>
    </row>
    <row r="500" spans="1:15">
      <c r="A500" s="99">
        <v>2012</v>
      </c>
      <c r="B500" s="100" t="s">
        <v>192</v>
      </c>
      <c r="C500" s="100" t="s">
        <v>193</v>
      </c>
      <c r="D500" s="101">
        <v>1062000</v>
      </c>
      <c r="E500" s="101">
        <v>0</v>
      </c>
      <c r="F500" s="101"/>
      <c r="G500" s="101">
        <v>4</v>
      </c>
      <c r="H500" s="101" t="s">
        <v>98</v>
      </c>
      <c r="I500" s="101"/>
      <c r="J500" s="101" t="s">
        <v>99</v>
      </c>
      <c r="K500" s="101" t="b">
        <v>1</v>
      </c>
      <c r="L500" s="97">
        <v>2012</v>
      </c>
      <c r="M500" s="98">
        <v>88602522.180000007</v>
      </c>
      <c r="N500" s="102">
        <v>41026</v>
      </c>
      <c r="O500" s="102">
        <v>41045</v>
      </c>
    </row>
    <row r="501" spans="1:15">
      <c r="A501" s="99">
        <v>2012</v>
      </c>
      <c r="B501" s="100" t="s">
        <v>192</v>
      </c>
      <c r="C501" s="100" t="s">
        <v>193</v>
      </c>
      <c r="D501" s="101">
        <v>1062000</v>
      </c>
      <c r="E501" s="101">
        <v>0</v>
      </c>
      <c r="F501" s="101"/>
      <c r="G501" s="101">
        <v>49</v>
      </c>
      <c r="H501" s="101" t="s">
        <v>148</v>
      </c>
      <c r="I501" s="101" t="s">
        <v>199</v>
      </c>
      <c r="J501" s="101" t="s">
        <v>79</v>
      </c>
      <c r="K501" s="101" t="b">
        <v>0</v>
      </c>
      <c r="L501" s="97">
        <v>2013</v>
      </c>
      <c r="M501" s="98">
        <v>67</v>
      </c>
      <c r="N501" s="102">
        <v>41026</v>
      </c>
      <c r="O501" s="102">
        <v>41045</v>
      </c>
    </row>
    <row r="502" spans="1:15">
      <c r="A502" s="99">
        <v>2012</v>
      </c>
      <c r="B502" s="100" t="s">
        <v>192</v>
      </c>
      <c r="C502" s="100" t="s">
        <v>193</v>
      </c>
      <c r="D502" s="101">
        <v>1062000</v>
      </c>
      <c r="E502" s="101">
        <v>0</v>
      </c>
      <c r="F502" s="101"/>
      <c r="G502" s="101">
        <v>45</v>
      </c>
      <c r="H502" s="101" t="s">
        <v>146</v>
      </c>
      <c r="I502" s="101" t="s">
        <v>203</v>
      </c>
      <c r="J502" s="101" t="s">
        <v>53</v>
      </c>
      <c r="K502" s="101" t="b">
        <v>0</v>
      </c>
      <c r="L502" s="97">
        <v>2018</v>
      </c>
      <c r="M502" s="98">
        <v>6.6799999999999998E-2</v>
      </c>
      <c r="N502" s="102">
        <v>41026</v>
      </c>
      <c r="O502" s="102">
        <v>41045</v>
      </c>
    </row>
    <row r="503" spans="1:15">
      <c r="A503" s="99">
        <v>2012</v>
      </c>
      <c r="B503" s="100" t="s">
        <v>192</v>
      </c>
      <c r="C503" s="100" t="s">
        <v>193</v>
      </c>
      <c r="D503" s="101">
        <v>1062000</v>
      </c>
      <c r="E503" s="101">
        <v>0</v>
      </c>
      <c r="F503" s="101"/>
      <c r="G503" s="101">
        <v>43</v>
      </c>
      <c r="H503" s="101" t="s">
        <v>144</v>
      </c>
      <c r="I503" s="101" t="s">
        <v>201</v>
      </c>
      <c r="J503" s="101" t="s">
        <v>74</v>
      </c>
      <c r="K503" s="101" t="b">
        <v>0</v>
      </c>
      <c r="L503" s="97">
        <v>2024</v>
      </c>
      <c r="M503" s="98">
        <v>8.8999999999999999E-3</v>
      </c>
      <c r="N503" s="102">
        <v>41026</v>
      </c>
      <c r="O503" s="102">
        <v>41045</v>
      </c>
    </row>
    <row r="504" spans="1:15">
      <c r="A504" s="99">
        <v>2012</v>
      </c>
      <c r="B504" s="100" t="s">
        <v>192</v>
      </c>
      <c r="C504" s="100" t="s">
        <v>193</v>
      </c>
      <c r="D504" s="101">
        <v>1062000</v>
      </c>
      <c r="E504" s="101">
        <v>0</v>
      </c>
      <c r="F504" s="101"/>
      <c r="G504" s="101">
        <v>51</v>
      </c>
      <c r="H504" s="101">
        <v>24</v>
      </c>
      <c r="I504" s="101" t="s">
        <v>202</v>
      </c>
      <c r="J504" s="101" t="s">
        <v>150</v>
      </c>
      <c r="K504" s="101" t="b">
        <v>1</v>
      </c>
      <c r="L504" s="97">
        <v>2028</v>
      </c>
      <c r="M504" s="98">
        <v>442905318</v>
      </c>
      <c r="N504" s="102">
        <v>41026</v>
      </c>
      <c r="O504" s="102">
        <v>41045</v>
      </c>
    </row>
    <row r="505" spans="1:15">
      <c r="A505" s="99">
        <v>2012</v>
      </c>
      <c r="B505" s="100" t="s">
        <v>192</v>
      </c>
      <c r="C505" s="100" t="s">
        <v>193</v>
      </c>
      <c r="D505" s="101">
        <v>1062000</v>
      </c>
      <c r="E505" s="101">
        <v>0</v>
      </c>
      <c r="F505" s="101"/>
      <c r="G505" s="101">
        <v>23</v>
      </c>
      <c r="H505" s="101" t="s">
        <v>126</v>
      </c>
      <c r="I505" s="101"/>
      <c r="J505" s="101" t="s">
        <v>127</v>
      </c>
      <c r="K505" s="101" t="b">
        <v>1</v>
      </c>
      <c r="L505" s="97">
        <v>2021</v>
      </c>
      <c r="M505" s="98">
        <v>2979443</v>
      </c>
      <c r="N505" s="102">
        <v>41026</v>
      </c>
      <c r="O505" s="102">
        <v>41045</v>
      </c>
    </row>
    <row r="506" spans="1:15">
      <c r="A506" s="99">
        <v>2012</v>
      </c>
      <c r="B506" s="100" t="s">
        <v>192</v>
      </c>
      <c r="C506" s="100" t="s">
        <v>193</v>
      </c>
      <c r="D506" s="101">
        <v>1062000</v>
      </c>
      <c r="E506" s="101">
        <v>0</v>
      </c>
      <c r="F506" s="101"/>
      <c r="G506" s="101">
        <v>33</v>
      </c>
      <c r="H506" s="101">
        <v>13</v>
      </c>
      <c r="I506" s="101"/>
      <c r="J506" s="101" t="s">
        <v>66</v>
      </c>
      <c r="K506" s="101" t="b">
        <v>1</v>
      </c>
      <c r="L506" s="97">
        <v>2021</v>
      </c>
      <c r="M506" s="98">
        <v>59110343.369999997</v>
      </c>
      <c r="N506" s="102">
        <v>41026</v>
      </c>
      <c r="O506" s="102">
        <v>41045</v>
      </c>
    </row>
    <row r="507" spans="1:15">
      <c r="A507" s="99">
        <v>2012</v>
      </c>
      <c r="B507" s="100" t="s">
        <v>192</v>
      </c>
      <c r="C507" s="100" t="s">
        <v>193</v>
      </c>
      <c r="D507" s="101">
        <v>1062000</v>
      </c>
      <c r="E507" s="101">
        <v>0</v>
      </c>
      <c r="F507" s="101"/>
      <c r="G507" s="101">
        <v>57</v>
      </c>
      <c r="H507" s="101">
        <v>30</v>
      </c>
      <c r="I507" s="101" t="s">
        <v>209</v>
      </c>
      <c r="J507" s="101" t="s">
        <v>153</v>
      </c>
      <c r="K507" s="101" t="b">
        <v>0</v>
      </c>
      <c r="L507" s="97">
        <v>2029</v>
      </c>
      <c r="M507" s="98">
        <v>3625279.37</v>
      </c>
      <c r="N507" s="102">
        <v>41026</v>
      </c>
      <c r="O507" s="102">
        <v>41045</v>
      </c>
    </row>
    <row r="508" spans="1:15">
      <c r="A508" s="99">
        <v>2012</v>
      </c>
      <c r="B508" s="100" t="s">
        <v>192</v>
      </c>
      <c r="C508" s="100" t="s">
        <v>193</v>
      </c>
      <c r="D508" s="101">
        <v>1062000</v>
      </c>
      <c r="E508" s="101">
        <v>0</v>
      </c>
      <c r="F508" s="101"/>
      <c r="G508" s="101">
        <v>20</v>
      </c>
      <c r="H508" s="101">
        <v>7</v>
      </c>
      <c r="I508" s="101" t="s">
        <v>215</v>
      </c>
      <c r="J508" s="101" t="s">
        <v>12</v>
      </c>
      <c r="K508" s="101" t="b">
        <v>1</v>
      </c>
      <c r="L508" s="97">
        <v>2021</v>
      </c>
      <c r="M508" s="98">
        <v>25062460</v>
      </c>
      <c r="N508" s="102">
        <v>41026</v>
      </c>
      <c r="O508" s="102">
        <v>41045</v>
      </c>
    </row>
    <row r="509" spans="1:15">
      <c r="A509" s="99">
        <v>2012</v>
      </c>
      <c r="B509" s="100" t="s">
        <v>192</v>
      </c>
      <c r="C509" s="100" t="s">
        <v>193</v>
      </c>
      <c r="D509" s="101">
        <v>1062000</v>
      </c>
      <c r="E509" s="101">
        <v>0</v>
      </c>
      <c r="F509" s="101"/>
      <c r="G509" s="101">
        <v>53</v>
      </c>
      <c r="H509" s="101">
        <v>26</v>
      </c>
      <c r="I509" s="101" t="s">
        <v>210</v>
      </c>
      <c r="J509" s="101" t="s">
        <v>151</v>
      </c>
      <c r="K509" s="101" t="b">
        <v>1</v>
      </c>
      <c r="L509" s="97">
        <v>2025</v>
      </c>
      <c r="M509" s="98">
        <v>431897365</v>
      </c>
      <c r="N509" s="102">
        <v>41026</v>
      </c>
      <c r="O509" s="102">
        <v>41045</v>
      </c>
    </row>
    <row r="510" spans="1:15">
      <c r="A510" s="99">
        <v>2012</v>
      </c>
      <c r="B510" s="100" t="s">
        <v>192</v>
      </c>
      <c r="C510" s="100" t="s">
        <v>193</v>
      </c>
      <c r="D510" s="101">
        <v>1062000</v>
      </c>
      <c r="E510" s="101">
        <v>0</v>
      </c>
      <c r="F510" s="101"/>
      <c r="G510" s="101">
        <v>52</v>
      </c>
      <c r="H510" s="101">
        <v>25</v>
      </c>
      <c r="I510" s="101" t="s">
        <v>214</v>
      </c>
      <c r="J510" s="101" t="s">
        <v>49</v>
      </c>
      <c r="K510" s="101" t="b">
        <v>1</v>
      </c>
      <c r="L510" s="97">
        <v>2027</v>
      </c>
      <c r="M510" s="98">
        <v>27645119</v>
      </c>
      <c r="N510" s="102">
        <v>41026</v>
      </c>
      <c r="O510" s="102">
        <v>41045</v>
      </c>
    </row>
    <row r="511" spans="1:15">
      <c r="A511" s="99">
        <v>2012</v>
      </c>
      <c r="B511" s="100" t="s">
        <v>192</v>
      </c>
      <c r="C511" s="100" t="s">
        <v>193</v>
      </c>
      <c r="D511" s="101">
        <v>1062000</v>
      </c>
      <c r="E511" s="101">
        <v>0</v>
      </c>
      <c r="F511" s="101"/>
      <c r="G511" s="101">
        <v>54</v>
      </c>
      <c r="H511" s="101">
        <v>27</v>
      </c>
      <c r="I511" s="101" t="s">
        <v>213</v>
      </c>
      <c r="J511" s="101" t="s">
        <v>46</v>
      </c>
      <c r="K511" s="101" t="b">
        <v>0</v>
      </c>
      <c r="L511" s="97">
        <v>2019</v>
      </c>
      <c r="M511" s="98">
        <v>348888501</v>
      </c>
      <c r="N511" s="102">
        <v>41026</v>
      </c>
      <c r="O511" s="102">
        <v>41045</v>
      </c>
    </row>
    <row r="512" spans="1:15">
      <c r="A512" s="99">
        <v>2012</v>
      </c>
      <c r="B512" s="100" t="s">
        <v>192</v>
      </c>
      <c r="C512" s="100" t="s">
        <v>193</v>
      </c>
      <c r="D512" s="101">
        <v>1062000</v>
      </c>
      <c r="E512" s="101">
        <v>0</v>
      </c>
      <c r="F512" s="101"/>
      <c r="G512" s="101">
        <v>51</v>
      </c>
      <c r="H512" s="101">
        <v>24</v>
      </c>
      <c r="I512" s="101" t="s">
        <v>202</v>
      </c>
      <c r="J512" s="101" t="s">
        <v>150</v>
      </c>
      <c r="K512" s="101" t="b">
        <v>1</v>
      </c>
      <c r="L512" s="97">
        <v>2012</v>
      </c>
      <c r="M512" s="98">
        <v>282976359.82999998</v>
      </c>
      <c r="N512" s="102">
        <v>41026</v>
      </c>
      <c r="O512" s="102">
        <v>41045</v>
      </c>
    </row>
    <row r="513" spans="1:15">
      <c r="A513" s="99">
        <v>2012</v>
      </c>
      <c r="B513" s="100" t="s">
        <v>192</v>
      </c>
      <c r="C513" s="100" t="s">
        <v>193</v>
      </c>
      <c r="D513" s="101">
        <v>1062000</v>
      </c>
      <c r="E513" s="101">
        <v>0</v>
      </c>
      <c r="F513" s="101"/>
      <c r="G513" s="101">
        <v>1</v>
      </c>
      <c r="H513" s="101">
        <v>1</v>
      </c>
      <c r="I513" s="101" t="s">
        <v>212</v>
      </c>
      <c r="J513" s="101" t="s">
        <v>93</v>
      </c>
      <c r="K513" s="101" t="b">
        <v>1</v>
      </c>
      <c r="L513" s="97">
        <v>2018</v>
      </c>
      <c r="M513" s="98">
        <v>360765535</v>
      </c>
      <c r="N513" s="102">
        <v>41026</v>
      </c>
      <c r="O513" s="102">
        <v>41045</v>
      </c>
    </row>
    <row r="514" spans="1:15">
      <c r="A514" s="99">
        <v>2012</v>
      </c>
      <c r="B514" s="100" t="s">
        <v>192</v>
      </c>
      <c r="C514" s="100" t="s">
        <v>193</v>
      </c>
      <c r="D514" s="101">
        <v>1062000</v>
      </c>
      <c r="E514" s="101">
        <v>0</v>
      </c>
      <c r="F514" s="101"/>
      <c r="G514" s="101">
        <v>20</v>
      </c>
      <c r="H514" s="101">
        <v>7</v>
      </c>
      <c r="I514" s="101" t="s">
        <v>215</v>
      </c>
      <c r="J514" s="101" t="s">
        <v>12</v>
      </c>
      <c r="K514" s="101" t="b">
        <v>1</v>
      </c>
      <c r="L514" s="97">
        <v>2016</v>
      </c>
      <c r="M514" s="98">
        <v>24542316</v>
      </c>
      <c r="N514" s="102">
        <v>41026</v>
      </c>
      <c r="O514" s="102">
        <v>41045</v>
      </c>
    </row>
    <row r="515" spans="1:15">
      <c r="A515" s="99">
        <v>2012</v>
      </c>
      <c r="B515" s="100" t="s">
        <v>192</v>
      </c>
      <c r="C515" s="100" t="s">
        <v>193</v>
      </c>
      <c r="D515" s="101">
        <v>1062000</v>
      </c>
      <c r="E515" s="101">
        <v>0</v>
      </c>
      <c r="F515" s="101"/>
      <c r="G515" s="101">
        <v>53</v>
      </c>
      <c r="H515" s="101">
        <v>26</v>
      </c>
      <c r="I515" s="101" t="s">
        <v>210</v>
      </c>
      <c r="J515" s="101" t="s">
        <v>151</v>
      </c>
      <c r="K515" s="101" t="b">
        <v>1</v>
      </c>
      <c r="L515" s="97">
        <v>2027</v>
      </c>
      <c r="M515" s="98">
        <v>458169464</v>
      </c>
      <c r="N515" s="102">
        <v>41026</v>
      </c>
      <c r="O515" s="102">
        <v>41045</v>
      </c>
    </row>
    <row r="516" spans="1:15">
      <c r="A516" s="99">
        <v>2012</v>
      </c>
      <c r="B516" s="100" t="s">
        <v>192</v>
      </c>
      <c r="C516" s="100" t="s">
        <v>193</v>
      </c>
      <c r="D516" s="101">
        <v>1062000</v>
      </c>
      <c r="E516" s="101">
        <v>0</v>
      </c>
      <c r="F516" s="101"/>
      <c r="G516" s="101">
        <v>1</v>
      </c>
      <c r="H516" s="101">
        <v>1</v>
      </c>
      <c r="I516" s="101" t="s">
        <v>212</v>
      </c>
      <c r="J516" s="101" t="s">
        <v>93</v>
      </c>
      <c r="K516" s="101" t="b">
        <v>1</v>
      </c>
      <c r="L516" s="97">
        <v>2024</v>
      </c>
      <c r="M516" s="98">
        <v>419332393</v>
      </c>
      <c r="N516" s="102">
        <v>41026</v>
      </c>
      <c r="O516" s="102">
        <v>41045</v>
      </c>
    </row>
    <row r="517" spans="1:15">
      <c r="A517" s="99">
        <v>2012</v>
      </c>
      <c r="B517" s="100" t="s">
        <v>192</v>
      </c>
      <c r="C517" s="100" t="s">
        <v>193</v>
      </c>
      <c r="D517" s="101">
        <v>1062000</v>
      </c>
      <c r="E517" s="101">
        <v>0</v>
      </c>
      <c r="F517" s="101"/>
      <c r="G517" s="101">
        <v>54</v>
      </c>
      <c r="H517" s="101">
        <v>27</v>
      </c>
      <c r="I517" s="101" t="s">
        <v>213</v>
      </c>
      <c r="J517" s="101" t="s">
        <v>46</v>
      </c>
      <c r="K517" s="101" t="b">
        <v>0</v>
      </c>
      <c r="L517" s="97">
        <v>2025</v>
      </c>
      <c r="M517" s="98">
        <v>428272086</v>
      </c>
      <c r="N517" s="102">
        <v>41026</v>
      </c>
      <c r="O517" s="102">
        <v>41045</v>
      </c>
    </row>
    <row r="518" spans="1:15">
      <c r="A518" s="99">
        <v>2012</v>
      </c>
      <c r="B518" s="100" t="s">
        <v>192</v>
      </c>
      <c r="C518" s="100" t="s">
        <v>193</v>
      </c>
      <c r="D518" s="101">
        <v>1062000</v>
      </c>
      <c r="E518" s="101">
        <v>0</v>
      </c>
      <c r="F518" s="101"/>
      <c r="G518" s="101">
        <v>55</v>
      </c>
      <c r="H518" s="101">
        <v>28</v>
      </c>
      <c r="I518" s="101" t="s">
        <v>205</v>
      </c>
      <c r="J518" s="101" t="s">
        <v>48</v>
      </c>
      <c r="K518" s="101" t="b">
        <v>0</v>
      </c>
      <c r="L518" s="97">
        <v>2025</v>
      </c>
      <c r="M518" s="98">
        <v>3625279</v>
      </c>
      <c r="N518" s="102">
        <v>41026</v>
      </c>
      <c r="O518" s="102">
        <v>41045</v>
      </c>
    </row>
    <row r="519" spans="1:15">
      <c r="A519" s="99">
        <v>2012</v>
      </c>
      <c r="B519" s="100" t="s">
        <v>192</v>
      </c>
      <c r="C519" s="100" t="s">
        <v>193</v>
      </c>
      <c r="D519" s="101">
        <v>1062000</v>
      </c>
      <c r="E519" s="101">
        <v>0</v>
      </c>
      <c r="F519" s="101"/>
      <c r="G519" s="101">
        <v>46</v>
      </c>
      <c r="H519" s="101">
        <v>21</v>
      </c>
      <c r="I519" s="101" t="s">
        <v>208</v>
      </c>
      <c r="J519" s="101" t="s">
        <v>54</v>
      </c>
      <c r="K519" s="101" t="b">
        <v>1</v>
      </c>
      <c r="L519" s="97">
        <v>2020</v>
      </c>
      <c r="M519" s="98">
        <v>6.5100000000000005E-2</v>
      </c>
      <c r="N519" s="102">
        <v>41026</v>
      </c>
      <c r="O519" s="102">
        <v>41045</v>
      </c>
    </row>
    <row r="520" spans="1:15">
      <c r="A520" s="99">
        <v>2012</v>
      </c>
      <c r="B520" s="100" t="s">
        <v>192</v>
      </c>
      <c r="C520" s="100" t="s">
        <v>193</v>
      </c>
      <c r="D520" s="101">
        <v>1062000</v>
      </c>
      <c r="E520" s="101">
        <v>0</v>
      </c>
      <c r="F520" s="101"/>
      <c r="G520" s="101">
        <v>20</v>
      </c>
      <c r="H520" s="101">
        <v>7</v>
      </c>
      <c r="I520" s="101" t="s">
        <v>215</v>
      </c>
      <c r="J520" s="101" t="s">
        <v>12</v>
      </c>
      <c r="K520" s="101" t="b">
        <v>1</v>
      </c>
      <c r="L520" s="97">
        <v>2017</v>
      </c>
      <c r="M520" s="98">
        <v>24014208</v>
      </c>
      <c r="N520" s="102">
        <v>41026</v>
      </c>
      <c r="O520" s="102">
        <v>41045</v>
      </c>
    </row>
    <row r="521" spans="1:15">
      <c r="A521" s="99">
        <v>2012</v>
      </c>
      <c r="B521" s="100" t="s">
        <v>192</v>
      </c>
      <c r="C521" s="100" t="s">
        <v>193</v>
      </c>
      <c r="D521" s="101">
        <v>1062000</v>
      </c>
      <c r="E521" s="101">
        <v>0</v>
      </c>
      <c r="F521" s="101"/>
      <c r="G521" s="101">
        <v>46</v>
      </c>
      <c r="H521" s="101">
        <v>21</v>
      </c>
      <c r="I521" s="101" t="s">
        <v>208</v>
      </c>
      <c r="J521" s="101" t="s">
        <v>54</v>
      </c>
      <c r="K521" s="101" t="b">
        <v>1</v>
      </c>
      <c r="L521" s="97">
        <v>2028</v>
      </c>
      <c r="M521" s="98">
        <v>7.7999999999999996E-3</v>
      </c>
      <c r="N521" s="102">
        <v>41026</v>
      </c>
      <c r="O521" s="102">
        <v>41045</v>
      </c>
    </row>
    <row r="522" spans="1:15">
      <c r="A522" s="99">
        <v>2012</v>
      </c>
      <c r="B522" s="100" t="s">
        <v>192</v>
      </c>
      <c r="C522" s="100" t="s">
        <v>193</v>
      </c>
      <c r="D522" s="101">
        <v>1062000</v>
      </c>
      <c r="E522" s="101">
        <v>0</v>
      </c>
      <c r="F522" s="101"/>
      <c r="G522" s="101">
        <v>9</v>
      </c>
      <c r="H522" s="101" t="s">
        <v>106</v>
      </c>
      <c r="I522" s="101"/>
      <c r="J522" s="101" t="s">
        <v>107</v>
      </c>
      <c r="K522" s="101" t="b">
        <v>0</v>
      </c>
      <c r="L522" s="97">
        <v>2013</v>
      </c>
      <c r="M522" s="98">
        <v>19524474</v>
      </c>
      <c r="N522" s="102">
        <v>41026</v>
      </c>
      <c r="O522" s="102">
        <v>41045</v>
      </c>
    </row>
    <row r="523" spans="1:15">
      <c r="A523" s="99">
        <v>2012</v>
      </c>
      <c r="B523" s="100" t="s">
        <v>192</v>
      </c>
      <c r="C523" s="100" t="s">
        <v>193</v>
      </c>
      <c r="D523" s="101">
        <v>1062000</v>
      </c>
      <c r="E523" s="101">
        <v>0</v>
      </c>
      <c r="F523" s="101"/>
      <c r="G523" s="101">
        <v>4</v>
      </c>
      <c r="H523" s="101" t="s">
        <v>98</v>
      </c>
      <c r="I523" s="101"/>
      <c r="J523" s="101" t="s">
        <v>99</v>
      </c>
      <c r="K523" s="101" t="b">
        <v>1</v>
      </c>
      <c r="L523" s="97">
        <v>2022</v>
      </c>
      <c r="M523" s="98">
        <v>3000000</v>
      </c>
      <c r="N523" s="102">
        <v>41026</v>
      </c>
      <c r="O523" s="102">
        <v>41045</v>
      </c>
    </row>
    <row r="524" spans="1:15">
      <c r="A524" s="99">
        <v>2012</v>
      </c>
      <c r="B524" s="100" t="s">
        <v>192</v>
      </c>
      <c r="C524" s="100" t="s">
        <v>193</v>
      </c>
      <c r="D524" s="101">
        <v>1062000</v>
      </c>
      <c r="E524" s="101">
        <v>0</v>
      </c>
      <c r="F524" s="101"/>
      <c r="G524" s="101">
        <v>53</v>
      </c>
      <c r="H524" s="101">
        <v>26</v>
      </c>
      <c r="I524" s="101" t="s">
        <v>210</v>
      </c>
      <c r="J524" s="101" t="s">
        <v>151</v>
      </c>
      <c r="K524" s="101" t="b">
        <v>1</v>
      </c>
      <c r="L524" s="97">
        <v>2030</v>
      </c>
      <c r="M524" s="98">
        <v>500607780</v>
      </c>
      <c r="N524" s="102">
        <v>41026</v>
      </c>
      <c r="O524" s="102">
        <v>41045</v>
      </c>
    </row>
    <row r="525" spans="1:15">
      <c r="A525" s="99">
        <v>2012</v>
      </c>
      <c r="B525" s="100" t="s">
        <v>192</v>
      </c>
      <c r="C525" s="100" t="s">
        <v>193</v>
      </c>
      <c r="D525" s="101">
        <v>1062000</v>
      </c>
      <c r="E525" s="101">
        <v>0</v>
      </c>
      <c r="F525" s="101"/>
      <c r="G525" s="101">
        <v>21</v>
      </c>
      <c r="H525" s="101" t="s">
        <v>122</v>
      </c>
      <c r="I525" s="101"/>
      <c r="J525" s="101" t="s">
        <v>123</v>
      </c>
      <c r="K525" s="101" t="b">
        <v>1</v>
      </c>
      <c r="L525" s="97">
        <v>2023</v>
      </c>
      <c r="M525" s="98">
        <v>14709433</v>
      </c>
      <c r="N525" s="102">
        <v>41026</v>
      </c>
      <c r="O525" s="102">
        <v>41045</v>
      </c>
    </row>
    <row r="526" spans="1:15">
      <c r="A526" s="99">
        <v>2012</v>
      </c>
      <c r="B526" s="100" t="s">
        <v>192</v>
      </c>
      <c r="C526" s="100" t="s">
        <v>193</v>
      </c>
      <c r="D526" s="101">
        <v>1062000</v>
      </c>
      <c r="E526" s="101">
        <v>0</v>
      </c>
      <c r="F526" s="101"/>
      <c r="G526" s="101">
        <v>2</v>
      </c>
      <c r="H526" s="101" t="s">
        <v>94</v>
      </c>
      <c r="I526" s="101"/>
      <c r="J526" s="101" t="s">
        <v>95</v>
      </c>
      <c r="K526" s="101" t="b">
        <v>1</v>
      </c>
      <c r="L526" s="97">
        <v>2026</v>
      </c>
      <c r="M526" s="98">
        <v>444339286</v>
      </c>
      <c r="N526" s="102">
        <v>41026</v>
      </c>
      <c r="O526" s="102">
        <v>41045</v>
      </c>
    </row>
    <row r="527" spans="1:15">
      <c r="A527" s="99">
        <v>2012</v>
      </c>
      <c r="B527" s="100" t="s">
        <v>192</v>
      </c>
      <c r="C527" s="100" t="s">
        <v>193</v>
      </c>
      <c r="D527" s="101">
        <v>1062000</v>
      </c>
      <c r="E527" s="101">
        <v>0</v>
      </c>
      <c r="F527" s="101"/>
      <c r="G527" s="101">
        <v>45</v>
      </c>
      <c r="H527" s="101" t="s">
        <v>146</v>
      </c>
      <c r="I527" s="101" t="s">
        <v>203</v>
      </c>
      <c r="J527" s="101" t="s">
        <v>53</v>
      </c>
      <c r="K527" s="101" t="b">
        <v>0</v>
      </c>
      <c r="L527" s="97">
        <v>2013</v>
      </c>
      <c r="M527" s="98">
        <v>6.7599999999999993E-2</v>
      </c>
      <c r="N527" s="102">
        <v>41026</v>
      </c>
      <c r="O527" s="102">
        <v>41045</v>
      </c>
    </row>
    <row r="528" spans="1:15">
      <c r="A528" s="99">
        <v>2012</v>
      </c>
      <c r="B528" s="100" t="s">
        <v>192</v>
      </c>
      <c r="C528" s="100" t="s">
        <v>193</v>
      </c>
      <c r="D528" s="101">
        <v>1062000</v>
      </c>
      <c r="E528" s="101">
        <v>0</v>
      </c>
      <c r="F528" s="101"/>
      <c r="G528" s="101">
        <v>26</v>
      </c>
      <c r="H528" s="101">
        <v>9</v>
      </c>
      <c r="I528" s="101" t="s">
        <v>204</v>
      </c>
      <c r="J528" s="101" t="s">
        <v>131</v>
      </c>
      <c r="K528" s="101" t="b">
        <v>0</v>
      </c>
      <c r="L528" s="97">
        <v>2016</v>
      </c>
      <c r="M528" s="98">
        <v>6768390</v>
      </c>
      <c r="N528" s="102">
        <v>41026</v>
      </c>
      <c r="O528" s="102">
        <v>41045</v>
      </c>
    </row>
    <row r="529" spans="1:15">
      <c r="A529" s="99">
        <v>2012</v>
      </c>
      <c r="B529" s="100" t="s">
        <v>192</v>
      </c>
      <c r="C529" s="100" t="s">
        <v>193</v>
      </c>
      <c r="D529" s="101">
        <v>1062000</v>
      </c>
      <c r="E529" s="101">
        <v>0</v>
      </c>
      <c r="F529" s="101"/>
      <c r="G529" s="101">
        <v>2</v>
      </c>
      <c r="H529" s="101" t="s">
        <v>94</v>
      </c>
      <c r="I529" s="101"/>
      <c r="J529" s="101" t="s">
        <v>95</v>
      </c>
      <c r="K529" s="101" t="b">
        <v>1</v>
      </c>
      <c r="L529" s="97">
        <v>2012</v>
      </c>
      <c r="M529" s="98">
        <v>315783037.79000002</v>
      </c>
      <c r="N529" s="102">
        <v>41026</v>
      </c>
      <c r="O529" s="102">
        <v>41045</v>
      </c>
    </row>
    <row r="530" spans="1:15">
      <c r="A530" s="99">
        <v>2012</v>
      </c>
      <c r="B530" s="100" t="s">
        <v>192</v>
      </c>
      <c r="C530" s="100" t="s">
        <v>193</v>
      </c>
      <c r="D530" s="101">
        <v>1062000</v>
      </c>
      <c r="E530" s="101">
        <v>0</v>
      </c>
      <c r="F530" s="101"/>
      <c r="G530" s="101">
        <v>24</v>
      </c>
      <c r="H530" s="101" t="s">
        <v>128</v>
      </c>
      <c r="I530" s="101"/>
      <c r="J530" s="101" t="s">
        <v>129</v>
      </c>
      <c r="K530" s="101" t="b">
        <v>1</v>
      </c>
      <c r="L530" s="97">
        <v>2026</v>
      </c>
      <c r="M530" s="98">
        <v>72506</v>
      </c>
      <c r="N530" s="102">
        <v>41026</v>
      </c>
      <c r="O530" s="102">
        <v>41045</v>
      </c>
    </row>
    <row r="531" spans="1:15">
      <c r="A531" s="99">
        <v>2012</v>
      </c>
      <c r="B531" s="100" t="s">
        <v>192</v>
      </c>
      <c r="C531" s="100" t="s">
        <v>193</v>
      </c>
      <c r="D531" s="101">
        <v>1062000</v>
      </c>
      <c r="E531" s="101">
        <v>0</v>
      </c>
      <c r="F531" s="101"/>
      <c r="G531" s="101">
        <v>43</v>
      </c>
      <c r="H531" s="101" t="s">
        <v>144</v>
      </c>
      <c r="I531" s="101" t="s">
        <v>201</v>
      </c>
      <c r="J531" s="101" t="s">
        <v>74</v>
      </c>
      <c r="K531" s="101" t="b">
        <v>0</v>
      </c>
      <c r="L531" s="97">
        <v>2016</v>
      </c>
      <c r="M531" s="98">
        <v>7.1800000000000003E-2</v>
      </c>
      <c r="N531" s="102">
        <v>41026</v>
      </c>
      <c r="O531" s="102">
        <v>41045</v>
      </c>
    </row>
    <row r="532" spans="1:15">
      <c r="A532" s="99">
        <v>2012</v>
      </c>
      <c r="B532" s="100" t="s">
        <v>192</v>
      </c>
      <c r="C532" s="100" t="s">
        <v>193</v>
      </c>
      <c r="D532" s="101">
        <v>1062000</v>
      </c>
      <c r="E532" s="101">
        <v>0</v>
      </c>
      <c r="F532" s="101"/>
      <c r="G532" s="101">
        <v>53</v>
      </c>
      <c r="H532" s="101">
        <v>26</v>
      </c>
      <c r="I532" s="101" t="s">
        <v>210</v>
      </c>
      <c r="J532" s="101" t="s">
        <v>151</v>
      </c>
      <c r="K532" s="101" t="b">
        <v>1</v>
      </c>
      <c r="L532" s="97">
        <v>2021</v>
      </c>
      <c r="M532" s="98">
        <v>387290971</v>
      </c>
      <c r="N532" s="102">
        <v>41026</v>
      </c>
      <c r="O532" s="102">
        <v>41045</v>
      </c>
    </row>
    <row r="533" spans="1:15">
      <c r="A533" s="99">
        <v>2012</v>
      </c>
      <c r="B533" s="100" t="s">
        <v>192</v>
      </c>
      <c r="C533" s="100" t="s">
        <v>193</v>
      </c>
      <c r="D533" s="101">
        <v>1062000</v>
      </c>
      <c r="E533" s="101">
        <v>0</v>
      </c>
      <c r="F533" s="101"/>
      <c r="G533" s="101">
        <v>24</v>
      </c>
      <c r="H533" s="101" t="s">
        <v>128</v>
      </c>
      <c r="I533" s="101"/>
      <c r="J533" s="101" t="s">
        <v>129</v>
      </c>
      <c r="K533" s="101" t="b">
        <v>1</v>
      </c>
      <c r="L533" s="97">
        <v>2013</v>
      </c>
      <c r="M533" s="98">
        <v>8000009</v>
      </c>
      <c r="N533" s="102">
        <v>41026</v>
      </c>
      <c r="O533" s="102">
        <v>41045</v>
      </c>
    </row>
    <row r="534" spans="1:15">
      <c r="A534" s="99">
        <v>2012</v>
      </c>
      <c r="B534" s="100" t="s">
        <v>192</v>
      </c>
      <c r="C534" s="100" t="s">
        <v>193</v>
      </c>
      <c r="D534" s="101">
        <v>1062000</v>
      </c>
      <c r="E534" s="101">
        <v>0</v>
      </c>
      <c r="F534" s="101"/>
      <c r="G534" s="101">
        <v>52</v>
      </c>
      <c r="H534" s="101">
        <v>25</v>
      </c>
      <c r="I534" s="101" t="s">
        <v>214</v>
      </c>
      <c r="J534" s="101" t="s">
        <v>49</v>
      </c>
      <c r="K534" s="101" t="b">
        <v>1</v>
      </c>
      <c r="L534" s="97">
        <v>2022</v>
      </c>
      <c r="M534" s="98">
        <v>22014226</v>
      </c>
      <c r="N534" s="102">
        <v>41026</v>
      </c>
      <c r="O534" s="102">
        <v>41045</v>
      </c>
    </row>
    <row r="535" spans="1:15">
      <c r="A535" s="99">
        <v>2012</v>
      </c>
      <c r="B535" s="100" t="s">
        <v>192</v>
      </c>
      <c r="C535" s="100" t="s">
        <v>193</v>
      </c>
      <c r="D535" s="101">
        <v>1062000</v>
      </c>
      <c r="E535" s="101">
        <v>0</v>
      </c>
      <c r="F535" s="101"/>
      <c r="G535" s="101">
        <v>7</v>
      </c>
      <c r="H535" s="101">
        <v>2</v>
      </c>
      <c r="I535" s="101"/>
      <c r="J535" s="101" t="s">
        <v>3</v>
      </c>
      <c r="K535" s="101" t="b">
        <v>1</v>
      </c>
      <c r="L535" s="97">
        <v>2019</v>
      </c>
      <c r="M535" s="98">
        <v>339422262</v>
      </c>
      <c r="N535" s="102">
        <v>41026</v>
      </c>
      <c r="O535" s="102">
        <v>41045</v>
      </c>
    </row>
    <row r="536" spans="1:15">
      <c r="A536" s="99">
        <v>2012</v>
      </c>
      <c r="B536" s="100" t="s">
        <v>192</v>
      </c>
      <c r="C536" s="100" t="s">
        <v>193</v>
      </c>
      <c r="D536" s="101">
        <v>1062000</v>
      </c>
      <c r="E536" s="101">
        <v>0</v>
      </c>
      <c r="F536" s="101"/>
      <c r="G536" s="101">
        <v>42</v>
      </c>
      <c r="H536" s="101">
        <v>19</v>
      </c>
      <c r="I536" s="101" t="s">
        <v>200</v>
      </c>
      <c r="J536" s="101" t="s">
        <v>72</v>
      </c>
      <c r="K536" s="101" t="b">
        <v>1</v>
      </c>
      <c r="L536" s="97">
        <v>2027</v>
      </c>
      <c r="M536" s="98">
        <v>8.0000000000000002E-3</v>
      </c>
      <c r="N536" s="102">
        <v>41026</v>
      </c>
      <c r="O536" s="102">
        <v>41045</v>
      </c>
    </row>
    <row r="537" spans="1:15">
      <c r="A537" s="99">
        <v>2012</v>
      </c>
      <c r="B537" s="100" t="s">
        <v>192</v>
      </c>
      <c r="C537" s="100" t="s">
        <v>193</v>
      </c>
      <c r="D537" s="101">
        <v>1062000</v>
      </c>
      <c r="E537" s="101">
        <v>0</v>
      </c>
      <c r="F537" s="101"/>
      <c r="G537" s="101">
        <v>20</v>
      </c>
      <c r="H537" s="101">
        <v>7</v>
      </c>
      <c r="I537" s="101" t="s">
        <v>215</v>
      </c>
      <c r="J537" s="101" t="s">
        <v>12</v>
      </c>
      <c r="K537" s="101" t="b">
        <v>1</v>
      </c>
      <c r="L537" s="97">
        <v>2019</v>
      </c>
      <c r="M537" s="98">
        <v>24246425</v>
      </c>
      <c r="N537" s="102">
        <v>41026</v>
      </c>
      <c r="O537" s="102">
        <v>41045</v>
      </c>
    </row>
    <row r="538" spans="1:15">
      <c r="A538" s="99">
        <v>2012</v>
      </c>
      <c r="B538" s="100" t="s">
        <v>192</v>
      </c>
      <c r="C538" s="100" t="s">
        <v>193</v>
      </c>
      <c r="D538" s="101">
        <v>1062000</v>
      </c>
      <c r="E538" s="101">
        <v>0</v>
      </c>
      <c r="F538" s="101"/>
      <c r="G538" s="101">
        <v>26</v>
      </c>
      <c r="H538" s="101">
        <v>9</v>
      </c>
      <c r="I538" s="101" t="s">
        <v>204</v>
      </c>
      <c r="J538" s="101" t="s">
        <v>131</v>
      </c>
      <c r="K538" s="101" t="b">
        <v>0</v>
      </c>
      <c r="L538" s="97">
        <v>2028</v>
      </c>
      <c r="M538" s="98">
        <v>25368951</v>
      </c>
      <c r="N538" s="102">
        <v>41026</v>
      </c>
      <c r="O538" s="102">
        <v>41045</v>
      </c>
    </row>
    <row r="539" spans="1:15">
      <c r="A539" s="99">
        <v>2012</v>
      </c>
      <c r="B539" s="100" t="s">
        <v>192</v>
      </c>
      <c r="C539" s="100" t="s">
        <v>193</v>
      </c>
      <c r="D539" s="101">
        <v>1062000</v>
      </c>
      <c r="E539" s="101">
        <v>0</v>
      </c>
      <c r="F539" s="101"/>
      <c r="G539" s="101">
        <v>43</v>
      </c>
      <c r="H539" s="101" t="s">
        <v>144</v>
      </c>
      <c r="I539" s="101" t="s">
        <v>201</v>
      </c>
      <c r="J539" s="101" t="s">
        <v>74</v>
      </c>
      <c r="K539" s="101" t="b">
        <v>0</v>
      </c>
      <c r="L539" s="97">
        <v>2027</v>
      </c>
      <c r="M539" s="98">
        <v>8.0000000000000002E-3</v>
      </c>
      <c r="N539" s="102">
        <v>41026</v>
      </c>
      <c r="O539" s="102">
        <v>41045</v>
      </c>
    </row>
    <row r="540" spans="1:15">
      <c r="A540" s="99">
        <v>2012</v>
      </c>
      <c r="B540" s="100" t="s">
        <v>192</v>
      </c>
      <c r="C540" s="100" t="s">
        <v>193</v>
      </c>
      <c r="D540" s="101">
        <v>1062000</v>
      </c>
      <c r="E540" s="101">
        <v>0</v>
      </c>
      <c r="F540" s="101"/>
      <c r="G540" s="101">
        <v>19</v>
      </c>
      <c r="H540" s="101">
        <v>6</v>
      </c>
      <c r="I540" s="101" t="s">
        <v>198</v>
      </c>
      <c r="J540" s="101" t="s">
        <v>121</v>
      </c>
      <c r="K540" s="101" t="b">
        <v>0</v>
      </c>
      <c r="L540" s="97">
        <v>2012</v>
      </c>
      <c r="M540" s="98">
        <v>154395757.86000001</v>
      </c>
      <c r="N540" s="102">
        <v>41026</v>
      </c>
      <c r="O540" s="102">
        <v>41045</v>
      </c>
    </row>
    <row r="541" spans="1:15">
      <c r="A541" s="99">
        <v>2012</v>
      </c>
      <c r="B541" s="100" t="s">
        <v>192</v>
      </c>
      <c r="C541" s="100" t="s">
        <v>193</v>
      </c>
      <c r="D541" s="101">
        <v>1062000</v>
      </c>
      <c r="E541" s="101">
        <v>0</v>
      </c>
      <c r="F541" s="101"/>
      <c r="G541" s="101">
        <v>54</v>
      </c>
      <c r="H541" s="101">
        <v>27</v>
      </c>
      <c r="I541" s="101" t="s">
        <v>213</v>
      </c>
      <c r="J541" s="101" t="s">
        <v>46</v>
      </c>
      <c r="K541" s="101" t="b">
        <v>0</v>
      </c>
      <c r="L541" s="97">
        <v>2013</v>
      </c>
      <c r="M541" s="98">
        <v>424806536.16000003</v>
      </c>
      <c r="N541" s="102">
        <v>41026</v>
      </c>
      <c r="O541" s="102">
        <v>41045</v>
      </c>
    </row>
    <row r="542" spans="1:15">
      <c r="A542" s="99">
        <v>2012</v>
      </c>
      <c r="B542" s="100" t="s">
        <v>192</v>
      </c>
      <c r="C542" s="100" t="s">
        <v>193</v>
      </c>
      <c r="D542" s="101">
        <v>1062000</v>
      </c>
      <c r="E542" s="101">
        <v>0</v>
      </c>
      <c r="F542" s="101"/>
      <c r="G542" s="101">
        <v>12</v>
      </c>
      <c r="H542" s="101" t="s">
        <v>112</v>
      </c>
      <c r="I542" s="101"/>
      <c r="J542" s="101" t="s">
        <v>113</v>
      </c>
      <c r="K542" s="101" t="b">
        <v>0</v>
      </c>
      <c r="L542" s="97">
        <v>2024</v>
      </c>
      <c r="M542" s="98">
        <v>28419.4</v>
      </c>
      <c r="N542" s="102">
        <v>41026</v>
      </c>
      <c r="O542" s="102">
        <v>41045</v>
      </c>
    </row>
    <row r="543" spans="1:15">
      <c r="A543" s="99">
        <v>2012</v>
      </c>
      <c r="B543" s="100" t="s">
        <v>192</v>
      </c>
      <c r="C543" s="100" t="s">
        <v>193</v>
      </c>
      <c r="D543" s="101">
        <v>1062000</v>
      </c>
      <c r="E543" s="101">
        <v>0</v>
      </c>
      <c r="F543" s="101"/>
      <c r="G543" s="101">
        <v>14</v>
      </c>
      <c r="H543" s="101">
        <v>3</v>
      </c>
      <c r="I543" s="101" t="s">
        <v>195</v>
      </c>
      <c r="J543" s="101" t="s">
        <v>116</v>
      </c>
      <c r="K543" s="101" t="b">
        <v>1</v>
      </c>
      <c r="L543" s="97">
        <v>2017</v>
      </c>
      <c r="M543" s="98">
        <v>30611028</v>
      </c>
      <c r="N543" s="102">
        <v>41026</v>
      </c>
      <c r="O543" s="102">
        <v>41045</v>
      </c>
    </row>
    <row r="544" spans="1:15">
      <c r="A544" s="99">
        <v>2012</v>
      </c>
      <c r="B544" s="100" t="s">
        <v>192</v>
      </c>
      <c r="C544" s="100" t="s">
        <v>193</v>
      </c>
      <c r="D544" s="101">
        <v>1062000</v>
      </c>
      <c r="E544" s="101">
        <v>0</v>
      </c>
      <c r="F544" s="101"/>
      <c r="G544" s="101">
        <v>26</v>
      </c>
      <c r="H544" s="101">
        <v>9</v>
      </c>
      <c r="I544" s="101" t="s">
        <v>204</v>
      </c>
      <c r="J544" s="101" t="s">
        <v>131</v>
      </c>
      <c r="K544" s="101" t="b">
        <v>0</v>
      </c>
      <c r="L544" s="97">
        <v>2026</v>
      </c>
      <c r="M544" s="98">
        <v>23694932</v>
      </c>
      <c r="N544" s="102">
        <v>41026</v>
      </c>
      <c r="O544" s="102">
        <v>41045</v>
      </c>
    </row>
    <row r="545" spans="1:15">
      <c r="A545" s="99">
        <v>2012</v>
      </c>
      <c r="B545" s="100" t="s">
        <v>192</v>
      </c>
      <c r="C545" s="100" t="s">
        <v>193</v>
      </c>
      <c r="D545" s="101">
        <v>1062000</v>
      </c>
      <c r="E545" s="101">
        <v>0</v>
      </c>
      <c r="F545" s="101"/>
      <c r="G545" s="101">
        <v>46</v>
      </c>
      <c r="H545" s="101">
        <v>21</v>
      </c>
      <c r="I545" s="101" t="s">
        <v>208</v>
      </c>
      <c r="J545" s="101" t="s">
        <v>54</v>
      </c>
      <c r="K545" s="101" t="b">
        <v>1</v>
      </c>
      <c r="L545" s="97">
        <v>2027</v>
      </c>
      <c r="M545" s="98">
        <v>8.0000000000000002E-3</v>
      </c>
      <c r="N545" s="102">
        <v>41026</v>
      </c>
      <c r="O545" s="102">
        <v>41045</v>
      </c>
    </row>
    <row r="546" spans="1:15">
      <c r="A546" s="99">
        <v>2012</v>
      </c>
      <c r="B546" s="100" t="s">
        <v>192</v>
      </c>
      <c r="C546" s="100" t="s">
        <v>193</v>
      </c>
      <c r="D546" s="101">
        <v>1062000</v>
      </c>
      <c r="E546" s="101">
        <v>0</v>
      </c>
      <c r="F546" s="101"/>
      <c r="G546" s="101">
        <v>53</v>
      </c>
      <c r="H546" s="101">
        <v>26</v>
      </c>
      <c r="I546" s="101" t="s">
        <v>210</v>
      </c>
      <c r="J546" s="101" t="s">
        <v>151</v>
      </c>
      <c r="K546" s="101" t="b">
        <v>1</v>
      </c>
      <c r="L546" s="97">
        <v>2017</v>
      </c>
      <c r="M546" s="98">
        <v>350549063</v>
      </c>
      <c r="N546" s="102">
        <v>41026</v>
      </c>
      <c r="O546" s="102">
        <v>41045</v>
      </c>
    </row>
    <row r="547" spans="1:15">
      <c r="A547" s="99">
        <v>2012</v>
      </c>
      <c r="B547" s="100" t="s">
        <v>192</v>
      </c>
      <c r="C547" s="100" t="s">
        <v>193</v>
      </c>
      <c r="D547" s="101">
        <v>1062000</v>
      </c>
      <c r="E547" s="101">
        <v>0</v>
      </c>
      <c r="F547" s="101"/>
      <c r="G547" s="101">
        <v>28</v>
      </c>
      <c r="H547" s="101" t="s">
        <v>132</v>
      </c>
      <c r="I547" s="101"/>
      <c r="J547" s="101" t="s">
        <v>133</v>
      </c>
      <c r="K547" s="101" t="b">
        <v>0</v>
      </c>
      <c r="L547" s="97">
        <v>2017</v>
      </c>
      <c r="M547" s="98">
        <v>71340</v>
      </c>
      <c r="N547" s="102">
        <v>41026</v>
      </c>
      <c r="O547" s="102">
        <v>41045</v>
      </c>
    </row>
    <row r="548" spans="1:15">
      <c r="A548" s="99">
        <v>2012</v>
      </c>
      <c r="B548" s="100" t="s">
        <v>192</v>
      </c>
      <c r="C548" s="100" t="s">
        <v>193</v>
      </c>
      <c r="D548" s="101">
        <v>1062000</v>
      </c>
      <c r="E548" s="101">
        <v>0</v>
      </c>
      <c r="F548" s="101"/>
      <c r="G548" s="101">
        <v>26</v>
      </c>
      <c r="H548" s="101">
        <v>9</v>
      </c>
      <c r="I548" s="101" t="s">
        <v>204</v>
      </c>
      <c r="J548" s="101" t="s">
        <v>131</v>
      </c>
      <c r="K548" s="101" t="b">
        <v>0</v>
      </c>
      <c r="L548" s="97">
        <v>2015</v>
      </c>
      <c r="M548" s="98">
        <v>9762360</v>
      </c>
      <c r="N548" s="102">
        <v>41026</v>
      </c>
      <c r="O548" s="102">
        <v>41045</v>
      </c>
    </row>
    <row r="549" spans="1:15">
      <c r="A549" s="99">
        <v>2012</v>
      </c>
      <c r="B549" s="100" t="s">
        <v>192</v>
      </c>
      <c r="C549" s="100" t="s">
        <v>193</v>
      </c>
      <c r="D549" s="101">
        <v>1062000</v>
      </c>
      <c r="E549" s="101">
        <v>0</v>
      </c>
      <c r="F549" s="101"/>
      <c r="G549" s="101">
        <v>31</v>
      </c>
      <c r="H549" s="101" t="s">
        <v>135</v>
      </c>
      <c r="I549" s="101"/>
      <c r="J549" s="101" t="s">
        <v>118</v>
      </c>
      <c r="K549" s="101" t="b">
        <v>1</v>
      </c>
      <c r="L549" s="97">
        <v>2013</v>
      </c>
      <c r="M549" s="98">
        <v>29333786.190000001</v>
      </c>
      <c r="N549" s="102">
        <v>41026</v>
      </c>
      <c r="O549" s="102">
        <v>41045</v>
      </c>
    </row>
    <row r="550" spans="1:15">
      <c r="A550" s="99">
        <v>2012</v>
      </c>
      <c r="B550" s="100" t="s">
        <v>192</v>
      </c>
      <c r="C550" s="100" t="s">
        <v>193</v>
      </c>
      <c r="D550" s="101">
        <v>1062000</v>
      </c>
      <c r="E550" s="101">
        <v>0</v>
      </c>
      <c r="F550" s="101"/>
      <c r="G550" s="101">
        <v>21</v>
      </c>
      <c r="H550" s="101" t="s">
        <v>122</v>
      </c>
      <c r="I550" s="101"/>
      <c r="J550" s="101" t="s">
        <v>123</v>
      </c>
      <c r="K550" s="101" t="b">
        <v>1</v>
      </c>
      <c r="L550" s="97">
        <v>2024</v>
      </c>
      <c r="M550" s="98">
        <v>3625279</v>
      </c>
      <c r="N550" s="102">
        <v>41026</v>
      </c>
      <c r="O550" s="102">
        <v>41045</v>
      </c>
    </row>
    <row r="551" spans="1:15">
      <c r="A551" s="99">
        <v>2012</v>
      </c>
      <c r="B551" s="100" t="s">
        <v>192</v>
      </c>
      <c r="C551" s="100" t="s">
        <v>193</v>
      </c>
      <c r="D551" s="101">
        <v>1062000</v>
      </c>
      <c r="E551" s="101">
        <v>0</v>
      </c>
      <c r="F551" s="101"/>
      <c r="G551" s="101">
        <v>46</v>
      </c>
      <c r="H551" s="101">
        <v>21</v>
      </c>
      <c r="I551" s="101" t="s">
        <v>208</v>
      </c>
      <c r="J551" s="101" t="s">
        <v>54</v>
      </c>
      <c r="K551" s="101" t="b">
        <v>1</v>
      </c>
      <c r="L551" s="97">
        <v>2019</v>
      </c>
      <c r="M551" s="98">
        <v>6.5799999999999997E-2</v>
      </c>
      <c r="N551" s="102">
        <v>41026</v>
      </c>
      <c r="O551" s="102">
        <v>41045</v>
      </c>
    </row>
    <row r="552" spans="1:15">
      <c r="A552" s="99">
        <v>2012</v>
      </c>
      <c r="B552" s="100" t="s">
        <v>192</v>
      </c>
      <c r="C552" s="100" t="s">
        <v>193</v>
      </c>
      <c r="D552" s="101">
        <v>1062000</v>
      </c>
      <c r="E552" s="101">
        <v>0</v>
      </c>
      <c r="F552" s="101"/>
      <c r="G552" s="101">
        <v>54</v>
      </c>
      <c r="H552" s="101">
        <v>27</v>
      </c>
      <c r="I552" s="101" t="s">
        <v>213</v>
      </c>
      <c r="J552" s="101" t="s">
        <v>46</v>
      </c>
      <c r="K552" s="101" t="b">
        <v>0</v>
      </c>
      <c r="L552" s="97">
        <v>2012</v>
      </c>
      <c r="M552" s="98">
        <v>460392537.24000001</v>
      </c>
      <c r="N552" s="102">
        <v>41026</v>
      </c>
      <c r="O552" s="102">
        <v>41045</v>
      </c>
    </row>
    <row r="553" spans="1:15">
      <c r="A553" s="99">
        <v>2012</v>
      </c>
      <c r="B553" s="100" t="s">
        <v>192</v>
      </c>
      <c r="C553" s="100" t="s">
        <v>193</v>
      </c>
      <c r="D553" s="101">
        <v>1062000</v>
      </c>
      <c r="E553" s="101">
        <v>0</v>
      </c>
      <c r="F553" s="101"/>
      <c r="G553" s="101">
        <v>4</v>
      </c>
      <c r="H553" s="101" t="s">
        <v>98</v>
      </c>
      <c r="I553" s="101"/>
      <c r="J553" s="101" t="s">
        <v>99</v>
      </c>
      <c r="K553" s="101" t="b">
        <v>1</v>
      </c>
      <c r="L553" s="97">
        <v>2029</v>
      </c>
      <c r="M553" s="98">
        <v>500000</v>
      </c>
      <c r="N553" s="102">
        <v>41026</v>
      </c>
      <c r="O553" s="102">
        <v>41045</v>
      </c>
    </row>
    <row r="554" spans="1:15">
      <c r="A554" s="99">
        <v>2012</v>
      </c>
      <c r="B554" s="100" t="s">
        <v>192</v>
      </c>
      <c r="C554" s="100" t="s">
        <v>193</v>
      </c>
      <c r="D554" s="101">
        <v>1062000</v>
      </c>
      <c r="E554" s="101">
        <v>0</v>
      </c>
      <c r="F554" s="101"/>
      <c r="G554" s="101">
        <v>50</v>
      </c>
      <c r="H554" s="101">
        <v>23</v>
      </c>
      <c r="I554" s="101" t="s">
        <v>197</v>
      </c>
      <c r="J554" s="101" t="s">
        <v>149</v>
      </c>
      <c r="K554" s="101" t="b">
        <v>1</v>
      </c>
      <c r="L554" s="97">
        <v>2030</v>
      </c>
      <c r="M554" s="98">
        <v>500107780</v>
      </c>
      <c r="N554" s="102">
        <v>41026</v>
      </c>
      <c r="O554" s="102">
        <v>41045</v>
      </c>
    </row>
    <row r="555" spans="1:15">
      <c r="A555" s="99">
        <v>2012</v>
      </c>
      <c r="B555" s="100" t="s">
        <v>192</v>
      </c>
      <c r="C555" s="100" t="s">
        <v>193</v>
      </c>
      <c r="D555" s="101">
        <v>1062000</v>
      </c>
      <c r="E555" s="101">
        <v>0</v>
      </c>
      <c r="F555" s="101"/>
      <c r="G555" s="101">
        <v>2</v>
      </c>
      <c r="H555" s="101" t="s">
        <v>94</v>
      </c>
      <c r="I555" s="101"/>
      <c r="J555" s="101" t="s">
        <v>95</v>
      </c>
      <c r="K555" s="101" t="b">
        <v>1</v>
      </c>
      <c r="L555" s="97">
        <v>2019</v>
      </c>
      <c r="M555" s="98">
        <v>361288501</v>
      </c>
      <c r="N555" s="102">
        <v>41026</v>
      </c>
      <c r="O555" s="102">
        <v>41045</v>
      </c>
    </row>
    <row r="556" spans="1:15">
      <c r="A556" s="99">
        <v>2012</v>
      </c>
      <c r="B556" s="100" t="s">
        <v>192</v>
      </c>
      <c r="C556" s="100" t="s">
        <v>193</v>
      </c>
      <c r="D556" s="101">
        <v>1062000</v>
      </c>
      <c r="E556" s="101">
        <v>0</v>
      </c>
      <c r="F556" s="101"/>
      <c r="G556" s="101">
        <v>23</v>
      </c>
      <c r="H556" s="101" t="s">
        <v>126</v>
      </c>
      <c r="I556" s="101"/>
      <c r="J556" s="101" t="s">
        <v>127</v>
      </c>
      <c r="K556" s="101" t="b">
        <v>1</v>
      </c>
      <c r="L556" s="97">
        <v>2028</v>
      </c>
      <c r="M556" s="98">
        <v>36253</v>
      </c>
      <c r="N556" s="102">
        <v>41026</v>
      </c>
      <c r="O556" s="102">
        <v>41045</v>
      </c>
    </row>
    <row r="557" spans="1:15">
      <c r="A557" s="99">
        <v>2012</v>
      </c>
      <c r="B557" s="100" t="s">
        <v>192</v>
      </c>
      <c r="C557" s="100" t="s">
        <v>193</v>
      </c>
      <c r="D557" s="101">
        <v>1062000</v>
      </c>
      <c r="E557" s="101">
        <v>0</v>
      </c>
      <c r="F557" s="101"/>
      <c r="G557" s="101">
        <v>19</v>
      </c>
      <c r="H557" s="101">
        <v>6</v>
      </c>
      <c r="I557" s="101" t="s">
        <v>198</v>
      </c>
      <c r="J557" s="101" t="s">
        <v>121</v>
      </c>
      <c r="K557" s="101" t="b">
        <v>0</v>
      </c>
      <c r="L557" s="97">
        <v>2022</v>
      </c>
      <c r="M557" s="98">
        <v>26893830</v>
      </c>
      <c r="N557" s="102">
        <v>41026</v>
      </c>
      <c r="O557" s="102">
        <v>41045</v>
      </c>
    </row>
    <row r="558" spans="1:15">
      <c r="A558" s="99">
        <v>2012</v>
      </c>
      <c r="B558" s="100" t="s">
        <v>192</v>
      </c>
      <c r="C558" s="100" t="s">
        <v>193</v>
      </c>
      <c r="D558" s="101">
        <v>1062000</v>
      </c>
      <c r="E558" s="101">
        <v>0</v>
      </c>
      <c r="F558" s="101"/>
      <c r="G558" s="101">
        <v>42</v>
      </c>
      <c r="H558" s="101">
        <v>19</v>
      </c>
      <c r="I558" s="101" t="s">
        <v>200</v>
      </c>
      <c r="J558" s="101" t="s">
        <v>72</v>
      </c>
      <c r="K558" s="101" t="b">
        <v>1</v>
      </c>
      <c r="L558" s="97">
        <v>2018</v>
      </c>
      <c r="M558" s="98">
        <v>6.3E-2</v>
      </c>
      <c r="N558" s="102">
        <v>41026</v>
      </c>
      <c r="O558" s="102">
        <v>41045</v>
      </c>
    </row>
    <row r="559" spans="1:15">
      <c r="A559" s="99">
        <v>2012</v>
      </c>
      <c r="B559" s="100" t="s">
        <v>192</v>
      </c>
      <c r="C559" s="100" t="s">
        <v>193</v>
      </c>
      <c r="D559" s="101">
        <v>1062000</v>
      </c>
      <c r="E559" s="101">
        <v>0</v>
      </c>
      <c r="F559" s="101"/>
      <c r="G559" s="101">
        <v>28</v>
      </c>
      <c r="H559" s="101" t="s">
        <v>132</v>
      </c>
      <c r="I559" s="101"/>
      <c r="J559" s="101" t="s">
        <v>133</v>
      </c>
      <c r="K559" s="101" t="b">
        <v>0</v>
      </c>
      <c r="L559" s="97">
        <v>2015</v>
      </c>
      <c r="M559" s="98">
        <v>1506785</v>
      </c>
      <c r="N559" s="102">
        <v>41026</v>
      </c>
      <c r="O559" s="102">
        <v>41045</v>
      </c>
    </row>
    <row r="560" spans="1:15">
      <c r="A560" s="99">
        <v>2012</v>
      </c>
      <c r="B560" s="100" t="s">
        <v>192</v>
      </c>
      <c r="C560" s="100" t="s">
        <v>193</v>
      </c>
      <c r="D560" s="101">
        <v>1062000</v>
      </c>
      <c r="E560" s="101">
        <v>0</v>
      </c>
      <c r="F560" s="101"/>
      <c r="G560" s="101">
        <v>28</v>
      </c>
      <c r="H560" s="101" t="s">
        <v>132</v>
      </c>
      <c r="I560" s="101"/>
      <c r="J560" s="101" t="s">
        <v>133</v>
      </c>
      <c r="K560" s="101" t="b">
        <v>0</v>
      </c>
      <c r="L560" s="97">
        <v>2018</v>
      </c>
      <c r="M560" s="98">
        <v>71340</v>
      </c>
      <c r="N560" s="102">
        <v>41026</v>
      </c>
      <c r="O560" s="102">
        <v>41045</v>
      </c>
    </row>
    <row r="561" spans="1:15">
      <c r="A561" s="99">
        <v>2012</v>
      </c>
      <c r="B561" s="100" t="s">
        <v>192</v>
      </c>
      <c r="C561" s="100" t="s">
        <v>193</v>
      </c>
      <c r="D561" s="101">
        <v>1062000</v>
      </c>
      <c r="E561" s="101">
        <v>0</v>
      </c>
      <c r="F561" s="101"/>
      <c r="G561" s="101">
        <v>9</v>
      </c>
      <c r="H561" s="101" t="s">
        <v>106</v>
      </c>
      <c r="I561" s="101"/>
      <c r="J561" s="101" t="s">
        <v>107</v>
      </c>
      <c r="K561" s="101" t="b">
        <v>0</v>
      </c>
      <c r="L561" s="97">
        <v>2019</v>
      </c>
      <c r="M561" s="98">
        <v>21348901</v>
      </c>
      <c r="N561" s="102">
        <v>41026</v>
      </c>
      <c r="O561" s="102">
        <v>41045</v>
      </c>
    </row>
    <row r="562" spans="1:15">
      <c r="A562" s="99">
        <v>2012</v>
      </c>
      <c r="B562" s="100" t="s">
        <v>192</v>
      </c>
      <c r="C562" s="100" t="s">
        <v>193</v>
      </c>
      <c r="D562" s="101">
        <v>1062000</v>
      </c>
      <c r="E562" s="101">
        <v>0</v>
      </c>
      <c r="F562" s="101"/>
      <c r="G562" s="101">
        <v>33</v>
      </c>
      <c r="H562" s="101">
        <v>13</v>
      </c>
      <c r="I562" s="101"/>
      <c r="J562" s="101" t="s">
        <v>66</v>
      </c>
      <c r="K562" s="101" t="b">
        <v>1</v>
      </c>
      <c r="L562" s="97">
        <v>2023</v>
      </c>
      <c r="M562" s="98">
        <v>21751674.370000001</v>
      </c>
      <c r="N562" s="102">
        <v>41026</v>
      </c>
      <c r="O562" s="102">
        <v>41045</v>
      </c>
    </row>
    <row r="563" spans="1:15">
      <c r="A563" s="99">
        <v>2012</v>
      </c>
      <c r="B563" s="100" t="s">
        <v>192</v>
      </c>
      <c r="C563" s="100" t="s">
        <v>193</v>
      </c>
      <c r="D563" s="101">
        <v>1062000</v>
      </c>
      <c r="E563" s="101">
        <v>0</v>
      </c>
      <c r="F563" s="101"/>
      <c r="G563" s="101">
        <v>49</v>
      </c>
      <c r="H563" s="101" t="s">
        <v>148</v>
      </c>
      <c r="I563" s="101" t="s">
        <v>199</v>
      </c>
      <c r="J563" s="101" t="s">
        <v>79</v>
      </c>
      <c r="K563" s="101" t="b">
        <v>0</v>
      </c>
      <c r="L563" s="97">
        <v>2027</v>
      </c>
      <c r="M563" s="98">
        <v>534</v>
      </c>
      <c r="N563" s="102">
        <v>41026</v>
      </c>
      <c r="O563" s="102">
        <v>41045</v>
      </c>
    </row>
    <row r="564" spans="1:15">
      <c r="A564" s="99">
        <v>2012</v>
      </c>
      <c r="B564" s="100" t="s">
        <v>192</v>
      </c>
      <c r="C564" s="100" t="s">
        <v>193</v>
      </c>
      <c r="D564" s="101">
        <v>1062000</v>
      </c>
      <c r="E564" s="101">
        <v>0</v>
      </c>
      <c r="F564" s="101"/>
      <c r="G564" s="101">
        <v>23</v>
      </c>
      <c r="H564" s="101" t="s">
        <v>126</v>
      </c>
      <c r="I564" s="101"/>
      <c r="J564" s="101" t="s">
        <v>127</v>
      </c>
      <c r="K564" s="101" t="b">
        <v>1</v>
      </c>
      <c r="L564" s="97">
        <v>2020</v>
      </c>
      <c r="M564" s="98">
        <v>3928960</v>
      </c>
      <c r="N564" s="102">
        <v>41026</v>
      </c>
      <c r="O564" s="102">
        <v>41045</v>
      </c>
    </row>
    <row r="565" spans="1:15">
      <c r="A565" s="99">
        <v>2012</v>
      </c>
      <c r="B565" s="100" t="s">
        <v>192</v>
      </c>
      <c r="C565" s="100" t="s">
        <v>193</v>
      </c>
      <c r="D565" s="101">
        <v>1062000</v>
      </c>
      <c r="E565" s="101">
        <v>0</v>
      </c>
      <c r="F565" s="101"/>
      <c r="G565" s="101">
        <v>43</v>
      </c>
      <c r="H565" s="101" t="s">
        <v>144</v>
      </c>
      <c r="I565" s="101" t="s">
        <v>201</v>
      </c>
      <c r="J565" s="101" t="s">
        <v>74</v>
      </c>
      <c r="K565" s="101" t="b">
        <v>0</v>
      </c>
      <c r="L565" s="97">
        <v>2012</v>
      </c>
      <c r="M565" s="98">
        <v>5.4300000000000001E-2</v>
      </c>
      <c r="N565" s="102">
        <v>41026</v>
      </c>
      <c r="O565" s="102">
        <v>41045</v>
      </c>
    </row>
    <row r="566" spans="1:15">
      <c r="A566" s="99">
        <v>2012</v>
      </c>
      <c r="B566" s="100" t="s">
        <v>192</v>
      </c>
      <c r="C566" s="100" t="s">
        <v>193</v>
      </c>
      <c r="D566" s="101">
        <v>1062000</v>
      </c>
      <c r="E566" s="101">
        <v>0</v>
      </c>
      <c r="F566" s="101"/>
      <c r="G566" s="101">
        <v>31</v>
      </c>
      <c r="H566" s="101" t="s">
        <v>135</v>
      </c>
      <c r="I566" s="101"/>
      <c r="J566" s="101" t="s">
        <v>118</v>
      </c>
      <c r="K566" s="101" t="b">
        <v>1</v>
      </c>
      <c r="L566" s="97">
        <v>2012</v>
      </c>
      <c r="M566" s="98">
        <v>45162003.789999999</v>
      </c>
      <c r="N566" s="102">
        <v>41026</v>
      </c>
      <c r="O566" s="102">
        <v>41045</v>
      </c>
    </row>
    <row r="567" spans="1:15">
      <c r="A567" s="99">
        <v>2012</v>
      </c>
      <c r="B567" s="100" t="s">
        <v>192</v>
      </c>
      <c r="C567" s="100" t="s">
        <v>193</v>
      </c>
      <c r="D567" s="101">
        <v>1062000</v>
      </c>
      <c r="E567" s="101">
        <v>0</v>
      </c>
      <c r="F567" s="101"/>
      <c r="G567" s="101">
        <v>33</v>
      </c>
      <c r="H567" s="101">
        <v>13</v>
      </c>
      <c r="I567" s="101"/>
      <c r="J567" s="101" t="s">
        <v>66</v>
      </c>
      <c r="K567" s="101" t="b">
        <v>1</v>
      </c>
      <c r="L567" s="97">
        <v>2027</v>
      </c>
      <c r="M567" s="98">
        <v>7250558.3700000001</v>
      </c>
      <c r="N567" s="102">
        <v>41026</v>
      </c>
      <c r="O567" s="102">
        <v>41045</v>
      </c>
    </row>
    <row r="568" spans="1:15">
      <c r="A568" s="99">
        <v>2012</v>
      </c>
      <c r="B568" s="100" t="s">
        <v>192</v>
      </c>
      <c r="C568" s="100" t="s">
        <v>193</v>
      </c>
      <c r="D568" s="101">
        <v>1062000</v>
      </c>
      <c r="E568" s="101">
        <v>0</v>
      </c>
      <c r="F568" s="101"/>
      <c r="G568" s="101">
        <v>53</v>
      </c>
      <c r="H568" s="101">
        <v>26</v>
      </c>
      <c r="I568" s="101" t="s">
        <v>210</v>
      </c>
      <c r="J568" s="101" t="s">
        <v>151</v>
      </c>
      <c r="K568" s="101" t="b">
        <v>1</v>
      </c>
      <c r="L568" s="97">
        <v>2016</v>
      </c>
      <c r="M568" s="98">
        <v>341930158</v>
      </c>
      <c r="N568" s="102">
        <v>41026</v>
      </c>
      <c r="O568" s="102">
        <v>41045</v>
      </c>
    </row>
    <row r="569" spans="1:15">
      <c r="A569" s="99">
        <v>2012</v>
      </c>
      <c r="B569" s="100" t="s">
        <v>192</v>
      </c>
      <c r="C569" s="100" t="s">
        <v>193</v>
      </c>
      <c r="D569" s="101">
        <v>1062000</v>
      </c>
      <c r="E569" s="101">
        <v>0</v>
      </c>
      <c r="F569" s="101"/>
      <c r="G569" s="101">
        <v>27</v>
      </c>
      <c r="H569" s="101">
        <v>10</v>
      </c>
      <c r="I569" s="101"/>
      <c r="J569" s="101" t="s">
        <v>18</v>
      </c>
      <c r="K569" s="101" t="b">
        <v>0</v>
      </c>
      <c r="L569" s="97">
        <v>2025</v>
      </c>
      <c r="M569" s="98">
        <v>22893523</v>
      </c>
      <c r="N569" s="102">
        <v>41026</v>
      </c>
      <c r="O569" s="102">
        <v>41045</v>
      </c>
    </row>
    <row r="570" spans="1:15">
      <c r="A570" s="99">
        <v>2012</v>
      </c>
      <c r="B570" s="100" t="s">
        <v>192</v>
      </c>
      <c r="C570" s="100" t="s">
        <v>193</v>
      </c>
      <c r="D570" s="101">
        <v>1062000</v>
      </c>
      <c r="E570" s="101">
        <v>0</v>
      </c>
      <c r="F570" s="101"/>
      <c r="G570" s="101">
        <v>47</v>
      </c>
      <c r="H570" s="101" t="s">
        <v>147</v>
      </c>
      <c r="I570" s="101" t="s">
        <v>206</v>
      </c>
      <c r="J570" s="101" t="s">
        <v>76</v>
      </c>
      <c r="K570" s="101" t="b">
        <v>0</v>
      </c>
      <c r="L570" s="97">
        <v>2029</v>
      </c>
      <c r="M570" s="98">
        <v>539</v>
      </c>
      <c r="N570" s="102">
        <v>41026</v>
      </c>
      <c r="O570" s="102">
        <v>41045</v>
      </c>
    </row>
    <row r="571" spans="1:15">
      <c r="A571" s="99">
        <v>2012</v>
      </c>
      <c r="B571" s="100" t="s">
        <v>192</v>
      </c>
      <c r="C571" s="100" t="s">
        <v>193</v>
      </c>
      <c r="D571" s="101">
        <v>1062000</v>
      </c>
      <c r="E571" s="101">
        <v>0</v>
      </c>
      <c r="F571" s="101"/>
      <c r="G571" s="101">
        <v>49</v>
      </c>
      <c r="H571" s="101" t="s">
        <v>148</v>
      </c>
      <c r="I571" s="101" t="s">
        <v>199</v>
      </c>
      <c r="J571" s="101" t="s">
        <v>79</v>
      </c>
      <c r="K571" s="101" t="b">
        <v>0</v>
      </c>
      <c r="L571" s="97">
        <v>2024</v>
      </c>
      <c r="M571" s="98">
        <v>551</v>
      </c>
      <c r="N571" s="102">
        <v>41026</v>
      </c>
      <c r="O571" s="102">
        <v>41045</v>
      </c>
    </row>
    <row r="572" spans="1:15">
      <c r="A572" s="99">
        <v>2012</v>
      </c>
      <c r="B572" s="100" t="s">
        <v>192</v>
      </c>
      <c r="C572" s="100" t="s">
        <v>193</v>
      </c>
      <c r="D572" s="101">
        <v>1062000</v>
      </c>
      <c r="E572" s="101">
        <v>0</v>
      </c>
      <c r="F572" s="101"/>
      <c r="G572" s="101">
        <v>19</v>
      </c>
      <c r="H572" s="101">
        <v>6</v>
      </c>
      <c r="I572" s="101" t="s">
        <v>198</v>
      </c>
      <c r="J572" s="101" t="s">
        <v>121</v>
      </c>
      <c r="K572" s="101" t="b">
        <v>0</v>
      </c>
      <c r="L572" s="97">
        <v>2016</v>
      </c>
      <c r="M572" s="98">
        <v>31310706</v>
      </c>
      <c r="N572" s="102">
        <v>41026</v>
      </c>
      <c r="O572" s="102">
        <v>41045</v>
      </c>
    </row>
    <row r="573" spans="1:15">
      <c r="A573" s="99">
        <v>2012</v>
      </c>
      <c r="B573" s="100" t="s">
        <v>192</v>
      </c>
      <c r="C573" s="100" t="s">
        <v>193</v>
      </c>
      <c r="D573" s="101">
        <v>1062000</v>
      </c>
      <c r="E573" s="101">
        <v>0</v>
      </c>
      <c r="F573" s="101"/>
      <c r="G573" s="101">
        <v>40</v>
      </c>
      <c r="H573" s="101">
        <v>18</v>
      </c>
      <c r="I573" s="101" t="s">
        <v>194</v>
      </c>
      <c r="J573" s="101" t="s">
        <v>69</v>
      </c>
      <c r="K573" s="101" t="b">
        <v>0</v>
      </c>
      <c r="L573" s="97">
        <v>2024</v>
      </c>
      <c r="M573" s="98">
        <v>4.3200000000000002E-2</v>
      </c>
      <c r="N573" s="102">
        <v>41026</v>
      </c>
      <c r="O573" s="102">
        <v>41045</v>
      </c>
    </row>
    <row r="574" spans="1:15">
      <c r="A574" s="99">
        <v>2012</v>
      </c>
      <c r="B574" s="100" t="s">
        <v>192</v>
      </c>
      <c r="C574" s="100" t="s">
        <v>193</v>
      </c>
      <c r="D574" s="101">
        <v>1062000</v>
      </c>
      <c r="E574" s="101">
        <v>0</v>
      </c>
      <c r="F574" s="101"/>
      <c r="G574" s="101">
        <v>14</v>
      </c>
      <c r="H574" s="101">
        <v>3</v>
      </c>
      <c r="I574" s="101" t="s">
        <v>195</v>
      </c>
      <c r="J574" s="101" t="s">
        <v>116</v>
      </c>
      <c r="K574" s="101" t="b">
        <v>1</v>
      </c>
      <c r="L574" s="97">
        <v>2028</v>
      </c>
      <c r="M574" s="98">
        <v>29030483</v>
      </c>
      <c r="N574" s="102">
        <v>41026</v>
      </c>
      <c r="O574" s="102">
        <v>41045</v>
      </c>
    </row>
    <row r="575" spans="1:15">
      <c r="A575" s="99">
        <v>2012</v>
      </c>
      <c r="B575" s="100" t="s">
        <v>192</v>
      </c>
      <c r="C575" s="100" t="s">
        <v>193</v>
      </c>
      <c r="D575" s="101">
        <v>1062000</v>
      </c>
      <c r="E575" s="101">
        <v>0</v>
      </c>
      <c r="F575" s="101"/>
      <c r="G575" s="101">
        <v>57</v>
      </c>
      <c r="H575" s="101">
        <v>30</v>
      </c>
      <c r="I575" s="101" t="s">
        <v>209</v>
      </c>
      <c r="J575" s="101" t="s">
        <v>153</v>
      </c>
      <c r="K575" s="101" t="b">
        <v>0</v>
      </c>
      <c r="L575" s="97">
        <v>2019</v>
      </c>
      <c r="M575" s="98">
        <v>19400000</v>
      </c>
      <c r="N575" s="102">
        <v>41026</v>
      </c>
      <c r="O575" s="102">
        <v>41045</v>
      </c>
    </row>
    <row r="576" spans="1:15">
      <c r="A576" s="99">
        <v>2012</v>
      </c>
      <c r="B576" s="100" t="s">
        <v>192</v>
      </c>
      <c r="C576" s="100" t="s">
        <v>193</v>
      </c>
      <c r="D576" s="101">
        <v>1062000</v>
      </c>
      <c r="E576" s="101">
        <v>0</v>
      </c>
      <c r="F576" s="101"/>
      <c r="G576" s="101">
        <v>44</v>
      </c>
      <c r="H576" s="101">
        <v>20</v>
      </c>
      <c r="I576" s="101" t="s">
        <v>207</v>
      </c>
      <c r="J576" s="101" t="s">
        <v>145</v>
      </c>
      <c r="K576" s="101" t="b">
        <v>1</v>
      </c>
      <c r="L576" s="97">
        <v>2021</v>
      </c>
      <c r="M576" s="98">
        <v>6.25E-2</v>
      </c>
      <c r="N576" s="102">
        <v>41026</v>
      </c>
      <c r="O576" s="102">
        <v>41045</v>
      </c>
    </row>
    <row r="577" spans="1:15">
      <c r="A577" s="99">
        <v>2012</v>
      </c>
      <c r="B577" s="100" t="s">
        <v>192</v>
      </c>
      <c r="C577" s="100" t="s">
        <v>193</v>
      </c>
      <c r="D577" s="101">
        <v>1062000</v>
      </c>
      <c r="E577" s="101">
        <v>0</v>
      </c>
      <c r="F577" s="101"/>
      <c r="G577" s="101">
        <v>52</v>
      </c>
      <c r="H577" s="101">
        <v>25</v>
      </c>
      <c r="I577" s="101" t="s">
        <v>214</v>
      </c>
      <c r="J577" s="101" t="s">
        <v>49</v>
      </c>
      <c r="K577" s="101" t="b">
        <v>1</v>
      </c>
      <c r="L577" s="97">
        <v>2019</v>
      </c>
      <c r="M577" s="98">
        <v>17019814</v>
      </c>
      <c r="N577" s="102">
        <v>41026</v>
      </c>
      <c r="O577" s="102">
        <v>41045</v>
      </c>
    </row>
    <row r="578" spans="1:15">
      <c r="A578" s="99">
        <v>2012</v>
      </c>
      <c r="B578" s="100" t="s">
        <v>192</v>
      </c>
      <c r="C578" s="100" t="s">
        <v>193</v>
      </c>
      <c r="D578" s="101">
        <v>1062000</v>
      </c>
      <c r="E578" s="101">
        <v>0</v>
      </c>
      <c r="F578" s="101"/>
      <c r="G578" s="101">
        <v>48</v>
      </c>
      <c r="H578" s="101">
        <v>22</v>
      </c>
      <c r="I578" s="101" t="s">
        <v>196</v>
      </c>
      <c r="J578" s="101" t="s">
        <v>77</v>
      </c>
      <c r="K578" s="101" t="b">
        <v>0</v>
      </c>
      <c r="L578" s="97">
        <v>2028</v>
      </c>
      <c r="M578" s="98">
        <v>7.7999999999999996E-3</v>
      </c>
      <c r="N578" s="102">
        <v>41026</v>
      </c>
      <c r="O578" s="102">
        <v>41045</v>
      </c>
    </row>
    <row r="579" spans="1:15">
      <c r="A579" s="99">
        <v>2012</v>
      </c>
      <c r="B579" s="100" t="s">
        <v>192</v>
      </c>
      <c r="C579" s="100" t="s">
        <v>193</v>
      </c>
      <c r="D579" s="101">
        <v>1062000</v>
      </c>
      <c r="E579" s="101">
        <v>0</v>
      </c>
      <c r="F579" s="101"/>
      <c r="G579" s="101">
        <v>7</v>
      </c>
      <c r="H579" s="101">
        <v>2</v>
      </c>
      <c r="I579" s="101"/>
      <c r="J579" s="101" t="s">
        <v>3</v>
      </c>
      <c r="K579" s="101" t="b">
        <v>1</v>
      </c>
      <c r="L579" s="97">
        <v>2023</v>
      </c>
      <c r="M579" s="98">
        <v>382022746</v>
      </c>
      <c r="N579" s="102">
        <v>41026</v>
      </c>
      <c r="O579" s="102">
        <v>41045</v>
      </c>
    </row>
    <row r="580" spans="1:15">
      <c r="A580" s="99">
        <v>2012</v>
      </c>
      <c r="B580" s="100" t="s">
        <v>192</v>
      </c>
      <c r="C580" s="100" t="s">
        <v>193</v>
      </c>
      <c r="D580" s="101">
        <v>1062000</v>
      </c>
      <c r="E580" s="101">
        <v>0</v>
      </c>
      <c r="F580" s="101"/>
      <c r="G580" s="101">
        <v>45</v>
      </c>
      <c r="H580" s="101" t="s">
        <v>146</v>
      </c>
      <c r="I580" s="101" t="s">
        <v>203</v>
      </c>
      <c r="J580" s="101" t="s">
        <v>53</v>
      </c>
      <c r="K580" s="101" t="b">
        <v>0</v>
      </c>
      <c r="L580" s="97">
        <v>2025</v>
      </c>
      <c r="M580" s="98">
        <v>6.3600000000000004E-2</v>
      </c>
      <c r="N580" s="102">
        <v>41026</v>
      </c>
      <c r="O580" s="102">
        <v>41045</v>
      </c>
    </row>
    <row r="581" spans="1:15">
      <c r="A581" s="99">
        <v>2012</v>
      </c>
      <c r="B581" s="100" t="s">
        <v>192</v>
      </c>
      <c r="C581" s="100" t="s">
        <v>193</v>
      </c>
      <c r="D581" s="101">
        <v>1062000</v>
      </c>
      <c r="E581" s="101">
        <v>0</v>
      </c>
      <c r="F581" s="101"/>
      <c r="G581" s="101">
        <v>4</v>
      </c>
      <c r="H581" s="101" t="s">
        <v>98</v>
      </c>
      <c r="I581" s="101"/>
      <c r="J581" s="101" t="s">
        <v>99</v>
      </c>
      <c r="K581" s="101" t="b">
        <v>1</v>
      </c>
      <c r="L581" s="97">
        <v>2023</v>
      </c>
      <c r="M581" s="98">
        <v>3500000</v>
      </c>
      <c r="N581" s="102">
        <v>41026</v>
      </c>
      <c r="O581" s="102">
        <v>41045</v>
      </c>
    </row>
    <row r="582" spans="1:15">
      <c r="A582" s="99">
        <v>2012</v>
      </c>
      <c r="B582" s="100" t="s">
        <v>192</v>
      </c>
      <c r="C582" s="100" t="s">
        <v>193</v>
      </c>
      <c r="D582" s="101">
        <v>1062000</v>
      </c>
      <c r="E582" s="101">
        <v>0</v>
      </c>
      <c r="F582" s="101"/>
      <c r="G582" s="101">
        <v>41</v>
      </c>
      <c r="H582" s="101" t="s">
        <v>143</v>
      </c>
      <c r="I582" s="101" t="s">
        <v>211</v>
      </c>
      <c r="J582" s="101" t="s">
        <v>71</v>
      </c>
      <c r="K582" s="101" t="b">
        <v>0</v>
      </c>
      <c r="L582" s="97">
        <v>2028</v>
      </c>
      <c r="M582" s="98">
        <v>7.7000000000000002E-3</v>
      </c>
      <c r="N582" s="102">
        <v>41026</v>
      </c>
      <c r="O582" s="102">
        <v>41045</v>
      </c>
    </row>
    <row r="583" spans="1:15">
      <c r="A583" s="99">
        <v>2012</v>
      </c>
      <c r="B583" s="100" t="s">
        <v>192</v>
      </c>
      <c r="C583" s="100" t="s">
        <v>193</v>
      </c>
      <c r="D583" s="101">
        <v>1062000</v>
      </c>
      <c r="E583" s="101">
        <v>0</v>
      </c>
      <c r="F583" s="101"/>
      <c r="G583" s="101">
        <v>50</v>
      </c>
      <c r="H583" s="101">
        <v>23</v>
      </c>
      <c r="I583" s="101" t="s">
        <v>197</v>
      </c>
      <c r="J583" s="101" t="s">
        <v>149</v>
      </c>
      <c r="K583" s="101" t="b">
        <v>1</v>
      </c>
      <c r="L583" s="97">
        <v>2019</v>
      </c>
      <c r="M583" s="98">
        <v>361288501</v>
      </c>
      <c r="N583" s="102">
        <v>41026</v>
      </c>
      <c r="O583" s="102">
        <v>41045</v>
      </c>
    </row>
    <row r="584" spans="1:15">
      <c r="A584" s="99">
        <v>2012</v>
      </c>
      <c r="B584" s="100" t="s">
        <v>192</v>
      </c>
      <c r="C584" s="100" t="s">
        <v>193</v>
      </c>
      <c r="D584" s="101">
        <v>1062000</v>
      </c>
      <c r="E584" s="101">
        <v>0</v>
      </c>
      <c r="F584" s="101"/>
      <c r="G584" s="101">
        <v>47</v>
      </c>
      <c r="H584" s="101" t="s">
        <v>147</v>
      </c>
      <c r="I584" s="101" t="s">
        <v>206</v>
      </c>
      <c r="J584" s="101" t="s">
        <v>76</v>
      </c>
      <c r="K584" s="101" t="b">
        <v>0</v>
      </c>
      <c r="L584" s="97">
        <v>2017</v>
      </c>
      <c r="M584" s="98">
        <v>12</v>
      </c>
      <c r="N584" s="102">
        <v>41026</v>
      </c>
      <c r="O584" s="102">
        <v>41045</v>
      </c>
    </row>
    <row r="585" spans="1:15">
      <c r="A585" s="99">
        <v>2012</v>
      </c>
      <c r="B585" s="100" t="s">
        <v>192</v>
      </c>
      <c r="C585" s="100" t="s">
        <v>193</v>
      </c>
      <c r="D585" s="101">
        <v>1062000</v>
      </c>
      <c r="E585" s="101">
        <v>0</v>
      </c>
      <c r="F585" s="101"/>
      <c r="G585" s="101">
        <v>8</v>
      </c>
      <c r="H585" s="101" t="s">
        <v>104</v>
      </c>
      <c r="I585" s="101"/>
      <c r="J585" s="101" t="s">
        <v>105</v>
      </c>
      <c r="K585" s="101" t="b">
        <v>0</v>
      </c>
      <c r="L585" s="97">
        <v>2013</v>
      </c>
      <c r="M585" s="98">
        <v>140068364</v>
      </c>
      <c r="N585" s="102">
        <v>41026</v>
      </c>
      <c r="O585" s="102">
        <v>41045</v>
      </c>
    </row>
    <row r="586" spans="1:15">
      <c r="A586" s="99">
        <v>2012</v>
      </c>
      <c r="B586" s="100" t="s">
        <v>192</v>
      </c>
      <c r="C586" s="100" t="s">
        <v>193</v>
      </c>
      <c r="D586" s="101">
        <v>1062000</v>
      </c>
      <c r="E586" s="101">
        <v>0</v>
      </c>
      <c r="F586" s="101"/>
      <c r="G586" s="101">
        <v>46</v>
      </c>
      <c r="H586" s="101">
        <v>21</v>
      </c>
      <c r="I586" s="101" t="s">
        <v>208</v>
      </c>
      <c r="J586" s="101" t="s">
        <v>54</v>
      </c>
      <c r="K586" s="101" t="b">
        <v>1</v>
      </c>
      <c r="L586" s="97">
        <v>2014</v>
      </c>
      <c r="M586" s="98">
        <v>7.7100000000000002E-2</v>
      </c>
      <c r="N586" s="102">
        <v>41026</v>
      </c>
      <c r="O586" s="102">
        <v>41045</v>
      </c>
    </row>
    <row r="587" spans="1:15">
      <c r="A587" s="99">
        <v>2012</v>
      </c>
      <c r="B587" s="100" t="s">
        <v>192</v>
      </c>
      <c r="C587" s="100" t="s">
        <v>193</v>
      </c>
      <c r="D587" s="101">
        <v>1062000</v>
      </c>
      <c r="E587" s="101">
        <v>0</v>
      </c>
      <c r="F587" s="101"/>
      <c r="G587" s="101">
        <v>44</v>
      </c>
      <c r="H587" s="101">
        <v>20</v>
      </c>
      <c r="I587" s="101" t="s">
        <v>207</v>
      </c>
      <c r="J587" s="101" t="s">
        <v>145</v>
      </c>
      <c r="K587" s="101" t="b">
        <v>1</v>
      </c>
      <c r="L587" s="97">
        <v>2019</v>
      </c>
      <c r="M587" s="98">
        <v>6.5199999999999994E-2</v>
      </c>
      <c r="N587" s="102">
        <v>41026</v>
      </c>
      <c r="O587" s="102">
        <v>41045</v>
      </c>
    </row>
    <row r="588" spans="1:15">
      <c r="A588" s="99">
        <v>2012</v>
      </c>
      <c r="B588" s="100" t="s">
        <v>192</v>
      </c>
      <c r="C588" s="100" t="s">
        <v>193</v>
      </c>
      <c r="D588" s="101">
        <v>1062000</v>
      </c>
      <c r="E588" s="101">
        <v>0</v>
      </c>
      <c r="F588" s="101"/>
      <c r="G588" s="101">
        <v>53</v>
      </c>
      <c r="H588" s="101">
        <v>26</v>
      </c>
      <c r="I588" s="101" t="s">
        <v>210</v>
      </c>
      <c r="J588" s="101" t="s">
        <v>151</v>
      </c>
      <c r="K588" s="101" t="b">
        <v>1</v>
      </c>
      <c r="L588" s="97">
        <v>2019</v>
      </c>
      <c r="M588" s="98">
        <v>368288501</v>
      </c>
      <c r="N588" s="102">
        <v>41026</v>
      </c>
      <c r="O588" s="102">
        <v>41045</v>
      </c>
    </row>
    <row r="589" spans="1:15">
      <c r="A589" s="99">
        <v>2012</v>
      </c>
      <c r="B589" s="100" t="s">
        <v>192</v>
      </c>
      <c r="C589" s="100" t="s">
        <v>193</v>
      </c>
      <c r="D589" s="101">
        <v>1062000</v>
      </c>
      <c r="E589" s="101">
        <v>0</v>
      </c>
      <c r="F589" s="101"/>
      <c r="G589" s="101">
        <v>14</v>
      </c>
      <c r="H589" s="101">
        <v>3</v>
      </c>
      <c r="I589" s="101" t="s">
        <v>195</v>
      </c>
      <c r="J589" s="101" t="s">
        <v>116</v>
      </c>
      <c r="K589" s="101" t="b">
        <v>1</v>
      </c>
      <c r="L589" s="97">
        <v>2012</v>
      </c>
      <c r="M589" s="98">
        <v>128404200.14</v>
      </c>
      <c r="N589" s="102">
        <v>41026</v>
      </c>
      <c r="O589" s="102">
        <v>41045</v>
      </c>
    </row>
    <row r="590" spans="1:15">
      <c r="A590" s="99">
        <v>2012</v>
      </c>
      <c r="B590" s="100" t="s">
        <v>192</v>
      </c>
      <c r="C590" s="100" t="s">
        <v>193</v>
      </c>
      <c r="D590" s="101">
        <v>1062000</v>
      </c>
      <c r="E590" s="101">
        <v>0</v>
      </c>
      <c r="F590" s="101"/>
      <c r="G590" s="101">
        <v>50</v>
      </c>
      <c r="H590" s="101">
        <v>23</v>
      </c>
      <c r="I590" s="101" t="s">
        <v>197</v>
      </c>
      <c r="J590" s="101" t="s">
        <v>149</v>
      </c>
      <c r="K590" s="101" t="b">
        <v>1</v>
      </c>
      <c r="L590" s="97">
        <v>2017</v>
      </c>
      <c r="M590" s="98">
        <v>340549063</v>
      </c>
      <c r="N590" s="102">
        <v>41026</v>
      </c>
      <c r="O590" s="102">
        <v>41045</v>
      </c>
    </row>
    <row r="591" spans="1:15">
      <c r="A591" s="99">
        <v>2012</v>
      </c>
      <c r="B591" s="100" t="s">
        <v>192</v>
      </c>
      <c r="C591" s="100" t="s">
        <v>193</v>
      </c>
      <c r="D591" s="101">
        <v>1062000</v>
      </c>
      <c r="E591" s="101">
        <v>0</v>
      </c>
      <c r="F591" s="101"/>
      <c r="G591" s="101">
        <v>47</v>
      </c>
      <c r="H591" s="101" t="s">
        <v>147</v>
      </c>
      <c r="I591" s="101" t="s">
        <v>206</v>
      </c>
      <c r="J591" s="101" t="s">
        <v>76</v>
      </c>
      <c r="K591" s="101" t="b">
        <v>0</v>
      </c>
      <c r="L591" s="97">
        <v>2019</v>
      </c>
      <c r="M591" s="98">
        <v>26</v>
      </c>
      <c r="N591" s="102">
        <v>41026</v>
      </c>
      <c r="O591" s="102">
        <v>41045</v>
      </c>
    </row>
    <row r="592" spans="1:15">
      <c r="A592" s="99">
        <v>2012</v>
      </c>
      <c r="B592" s="100" t="s">
        <v>192</v>
      </c>
      <c r="C592" s="100" t="s">
        <v>193</v>
      </c>
      <c r="D592" s="101">
        <v>1062000</v>
      </c>
      <c r="E592" s="101">
        <v>0</v>
      </c>
      <c r="F592" s="101"/>
      <c r="G592" s="101">
        <v>46</v>
      </c>
      <c r="H592" s="101">
        <v>21</v>
      </c>
      <c r="I592" s="101" t="s">
        <v>208</v>
      </c>
      <c r="J592" s="101" t="s">
        <v>54</v>
      </c>
      <c r="K592" s="101" t="b">
        <v>1</v>
      </c>
      <c r="L592" s="97">
        <v>2013</v>
      </c>
      <c r="M592" s="98">
        <v>6.3299999999999995E-2</v>
      </c>
      <c r="N592" s="102">
        <v>41026</v>
      </c>
      <c r="O592" s="102">
        <v>41045</v>
      </c>
    </row>
    <row r="593" spans="1:15">
      <c r="A593" s="99">
        <v>2012</v>
      </c>
      <c r="B593" s="100" t="s">
        <v>192</v>
      </c>
      <c r="C593" s="100" t="s">
        <v>193</v>
      </c>
      <c r="D593" s="101">
        <v>1062000</v>
      </c>
      <c r="E593" s="101">
        <v>0</v>
      </c>
      <c r="F593" s="101"/>
      <c r="G593" s="101">
        <v>9</v>
      </c>
      <c r="H593" s="101" t="s">
        <v>106</v>
      </c>
      <c r="I593" s="101"/>
      <c r="J593" s="101" t="s">
        <v>107</v>
      </c>
      <c r="K593" s="101" t="b">
        <v>0</v>
      </c>
      <c r="L593" s="97">
        <v>2015</v>
      </c>
      <c r="M593" s="98">
        <v>20114598</v>
      </c>
      <c r="N593" s="102">
        <v>41026</v>
      </c>
      <c r="O593" s="102">
        <v>41045</v>
      </c>
    </row>
    <row r="594" spans="1:15">
      <c r="A594" s="99">
        <v>2012</v>
      </c>
      <c r="B594" s="100" t="s">
        <v>192</v>
      </c>
      <c r="C594" s="100" t="s">
        <v>193</v>
      </c>
      <c r="D594" s="101">
        <v>1062000</v>
      </c>
      <c r="E594" s="101">
        <v>0</v>
      </c>
      <c r="F594" s="101"/>
      <c r="G594" s="101">
        <v>24</v>
      </c>
      <c r="H594" s="101" t="s">
        <v>128</v>
      </c>
      <c r="I594" s="101"/>
      <c r="J594" s="101" t="s">
        <v>129</v>
      </c>
      <c r="K594" s="101" t="b">
        <v>1</v>
      </c>
      <c r="L594" s="97">
        <v>2012</v>
      </c>
      <c r="M594" s="98">
        <v>6995000</v>
      </c>
      <c r="N594" s="102">
        <v>41026</v>
      </c>
      <c r="O594" s="102">
        <v>41045</v>
      </c>
    </row>
    <row r="595" spans="1:15">
      <c r="A595" s="99">
        <v>2012</v>
      </c>
      <c r="B595" s="100" t="s">
        <v>192</v>
      </c>
      <c r="C595" s="100" t="s">
        <v>193</v>
      </c>
      <c r="D595" s="101">
        <v>1062000</v>
      </c>
      <c r="E595" s="101">
        <v>0</v>
      </c>
      <c r="F595" s="101"/>
      <c r="G595" s="101">
        <v>2</v>
      </c>
      <c r="H595" s="101" t="s">
        <v>94</v>
      </c>
      <c r="I595" s="101"/>
      <c r="J595" s="101" t="s">
        <v>95</v>
      </c>
      <c r="K595" s="101" t="b">
        <v>1</v>
      </c>
      <c r="L595" s="97">
        <v>2027</v>
      </c>
      <c r="M595" s="98">
        <v>457669464</v>
      </c>
      <c r="N595" s="102">
        <v>41026</v>
      </c>
      <c r="O595" s="102">
        <v>41045</v>
      </c>
    </row>
    <row r="596" spans="1:15">
      <c r="A596" s="99">
        <v>2012</v>
      </c>
      <c r="B596" s="100" t="s">
        <v>192</v>
      </c>
      <c r="C596" s="100" t="s">
        <v>193</v>
      </c>
      <c r="D596" s="101">
        <v>1062000</v>
      </c>
      <c r="E596" s="101">
        <v>0</v>
      </c>
      <c r="F596" s="101"/>
      <c r="G596" s="101">
        <v>8</v>
      </c>
      <c r="H596" s="101" t="s">
        <v>104</v>
      </c>
      <c r="I596" s="101"/>
      <c r="J596" s="101" t="s">
        <v>105</v>
      </c>
      <c r="K596" s="101" t="b">
        <v>0</v>
      </c>
      <c r="L596" s="97">
        <v>2017</v>
      </c>
      <c r="M596" s="98">
        <v>148663456</v>
      </c>
      <c r="N596" s="102">
        <v>41026</v>
      </c>
      <c r="O596" s="102">
        <v>41045</v>
      </c>
    </row>
    <row r="597" spans="1:15">
      <c r="A597" s="99">
        <v>2012</v>
      </c>
      <c r="B597" s="100" t="s">
        <v>192</v>
      </c>
      <c r="C597" s="100" t="s">
        <v>193</v>
      </c>
      <c r="D597" s="101">
        <v>1062000</v>
      </c>
      <c r="E597" s="101">
        <v>0</v>
      </c>
      <c r="F597" s="101"/>
      <c r="G597" s="101">
        <v>37</v>
      </c>
      <c r="H597" s="101">
        <v>16</v>
      </c>
      <c r="I597" s="101"/>
      <c r="J597" s="101" t="s">
        <v>140</v>
      </c>
      <c r="K597" s="101" t="b">
        <v>1</v>
      </c>
      <c r="L597" s="97">
        <v>2025</v>
      </c>
      <c r="M597" s="98">
        <v>3625279</v>
      </c>
      <c r="N597" s="102">
        <v>41026</v>
      </c>
      <c r="O597" s="102">
        <v>41045</v>
      </c>
    </row>
    <row r="598" spans="1:15">
      <c r="A598" s="99">
        <v>2012</v>
      </c>
      <c r="B598" s="100" t="s">
        <v>192</v>
      </c>
      <c r="C598" s="100" t="s">
        <v>193</v>
      </c>
      <c r="D598" s="101">
        <v>1062000</v>
      </c>
      <c r="E598" s="101">
        <v>0</v>
      </c>
      <c r="F598" s="101"/>
      <c r="G598" s="101">
        <v>55</v>
      </c>
      <c r="H598" s="101">
        <v>28</v>
      </c>
      <c r="I598" s="101" t="s">
        <v>205</v>
      </c>
      <c r="J598" s="101" t="s">
        <v>48</v>
      </c>
      <c r="K598" s="101" t="b">
        <v>0</v>
      </c>
      <c r="L598" s="97">
        <v>2024</v>
      </c>
      <c r="M598" s="98">
        <v>3625279</v>
      </c>
      <c r="N598" s="102">
        <v>41026</v>
      </c>
      <c r="O598" s="102">
        <v>41045</v>
      </c>
    </row>
    <row r="599" spans="1:15">
      <c r="A599" s="99">
        <v>2012</v>
      </c>
      <c r="B599" s="100" t="s">
        <v>192</v>
      </c>
      <c r="C599" s="100" t="s">
        <v>193</v>
      </c>
      <c r="D599" s="101">
        <v>1062000</v>
      </c>
      <c r="E599" s="101">
        <v>0</v>
      </c>
      <c r="F599" s="101"/>
      <c r="G599" s="101">
        <v>8</v>
      </c>
      <c r="H599" s="101" t="s">
        <v>104</v>
      </c>
      <c r="I599" s="101"/>
      <c r="J599" s="101" t="s">
        <v>105</v>
      </c>
      <c r="K599" s="101" t="b">
        <v>0</v>
      </c>
      <c r="L599" s="97">
        <v>2014</v>
      </c>
      <c r="M599" s="98">
        <v>142169389</v>
      </c>
      <c r="N599" s="102">
        <v>41026</v>
      </c>
      <c r="O599" s="102">
        <v>41045</v>
      </c>
    </row>
    <row r="600" spans="1:15">
      <c r="A600" s="99">
        <v>2012</v>
      </c>
      <c r="B600" s="100" t="s">
        <v>192</v>
      </c>
      <c r="C600" s="100" t="s">
        <v>193</v>
      </c>
      <c r="D600" s="101">
        <v>1062000</v>
      </c>
      <c r="E600" s="101">
        <v>0</v>
      </c>
      <c r="F600" s="101"/>
      <c r="G600" s="101">
        <v>8</v>
      </c>
      <c r="H600" s="101" t="s">
        <v>104</v>
      </c>
      <c r="I600" s="101"/>
      <c r="J600" s="101" t="s">
        <v>105</v>
      </c>
      <c r="K600" s="101" t="b">
        <v>0</v>
      </c>
      <c r="L600" s="97">
        <v>2028</v>
      </c>
      <c r="M600" s="98">
        <v>175117960</v>
      </c>
      <c r="N600" s="102">
        <v>41026</v>
      </c>
      <c r="O600" s="102">
        <v>41045</v>
      </c>
    </row>
    <row r="601" spans="1:15">
      <c r="A601" s="99">
        <v>2012</v>
      </c>
      <c r="B601" s="100" t="s">
        <v>192</v>
      </c>
      <c r="C601" s="100" t="s">
        <v>193</v>
      </c>
      <c r="D601" s="101">
        <v>1062000</v>
      </c>
      <c r="E601" s="101">
        <v>0</v>
      </c>
      <c r="F601" s="101"/>
      <c r="G601" s="101">
        <v>49</v>
      </c>
      <c r="H601" s="101" t="s">
        <v>148</v>
      </c>
      <c r="I601" s="101" t="s">
        <v>199</v>
      </c>
      <c r="J601" s="101" t="s">
        <v>79</v>
      </c>
      <c r="K601" s="101" t="b">
        <v>0</v>
      </c>
      <c r="L601" s="97">
        <v>2028</v>
      </c>
      <c r="M601" s="98">
        <v>536</v>
      </c>
      <c r="N601" s="102">
        <v>41026</v>
      </c>
      <c r="O601" s="102">
        <v>41045</v>
      </c>
    </row>
    <row r="602" spans="1:15">
      <c r="A602" s="99">
        <v>2012</v>
      </c>
      <c r="B602" s="100" t="s">
        <v>192</v>
      </c>
      <c r="C602" s="100" t="s">
        <v>193</v>
      </c>
      <c r="D602" s="101">
        <v>1062000</v>
      </c>
      <c r="E602" s="101">
        <v>0</v>
      </c>
      <c r="F602" s="101"/>
      <c r="G602" s="101">
        <v>52</v>
      </c>
      <c r="H602" s="101">
        <v>25</v>
      </c>
      <c r="I602" s="101" t="s">
        <v>214</v>
      </c>
      <c r="J602" s="101" t="s">
        <v>49</v>
      </c>
      <c r="K602" s="101" t="b">
        <v>1</v>
      </c>
      <c r="L602" s="97">
        <v>2024</v>
      </c>
      <c r="M602" s="98">
        <v>25240207</v>
      </c>
      <c r="N602" s="102">
        <v>41026</v>
      </c>
      <c r="O602" s="102">
        <v>41045</v>
      </c>
    </row>
    <row r="603" spans="1:15">
      <c r="A603" s="99">
        <v>2012</v>
      </c>
      <c r="B603" s="100" t="s">
        <v>192</v>
      </c>
      <c r="C603" s="100" t="s">
        <v>193</v>
      </c>
      <c r="D603" s="101">
        <v>1062000</v>
      </c>
      <c r="E603" s="101">
        <v>0</v>
      </c>
      <c r="F603" s="101"/>
      <c r="G603" s="101">
        <v>52</v>
      </c>
      <c r="H603" s="101">
        <v>25</v>
      </c>
      <c r="I603" s="101" t="s">
        <v>214</v>
      </c>
      <c r="J603" s="101" t="s">
        <v>49</v>
      </c>
      <c r="K603" s="101" t="b">
        <v>1</v>
      </c>
      <c r="L603" s="97">
        <v>2020</v>
      </c>
      <c r="M603" s="98">
        <v>18593266</v>
      </c>
      <c r="N603" s="102">
        <v>41026</v>
      </c>
      <c r="O603" s="102">
        <v>41045</v>
      </c>
    </row>
    <row r="604" spans="1:15">
      <c r="A604" s="99">
        <v>2012</v>
      </c>
      <c r="B604" s="100" t="s">
        <v>192</v>
      </c>
      <c r="C604" s="100" t="s">
        <v>193</v>
      </c>
      <c r="D604" s="101">
        <v>1062000</v>
      </c>
      <c r="E604" s="101">
        <v>0</v>
      </c>
      <c r="F604" s="101"/>
      <c r="G604" s="101">
        <v>52</v>
      </c>
      <c r="H604" s="101">
        <v>25</v>
      </c>
      <c r="I604" s="101" t="s">
        <v>214</v>
      </c>
      <c r="J604" s="101" t="s">
        <v>49</v>
      </c>
      <c r="K604" s="101" t="b">
        <v>1</v>
      </c>
      <c r="L604" s="97">
        <v>2015</v>
      </c>
      <c r="M604" s="98">
        <v>11534035</v>
      </c>
      <c r="N604" s="102">
        <v>41026</v>
      </c>
      <c r="O604" s="102">
        <v>41045</v>
      </c>
    </row>
    <row r="605" spans="1:15">
      <c r="A605" s="99">
        <v>2012</v>
      </c>
      <c r="B605" s="100" t="s">
        <v>192</v>
      </c>
      <c r="C605" s="100" t="s">
        <v>193</v>
      </c>
      <c r="D605" s="101">
        <v>1062000</v>
      </c>
      <c r="E605" s="101">
        <v>0</v>
      </c>
      <c r="F605" s="101"/>
      <c r="G605" s="101">
        <v>20</v>
      </c>
      <c r="H605" s="101">
        <v>7</v>
      </c>
      <c r="I605" s="101" t="s">
        <v>215</v>
      </c>
      <c r="J605" s="101" t="s">
        <v>12</v>
      </c>
      <c r="K605" s="101" t="b">
        <v>1</v>
      </c>
      <c r="L605" s="97">
        <v>2022</v>
      </c>
      <c r="M605" s="98">
        <v>24528840</v>
      </c>
      <c r="N605" s="102">
        <v>41026</v>
      </c>
      <c r="O605" s="102">
        <v>41045</v>
      </c>
    </row>
    <row r="606" spans="1:15">
      <c r="A606" s="99">
        <v>2012</v>
      </c>
      <c r="B606" s="100" t="s">
        <v>192</v>
      </c>
      <c r="C606" s="100" t="s">
        <v>193</v>
      </c>
      <c r="D606" s="101">
        <v>1062000</v>
      </c>
      <c r="E606" s="101">
        <v>0</v>
      </c>
      <c r="F606" s="101"/>
      <c r="G606" s="101">
        <v>45</v>
      </c>
      <c r="H606" s="101" t="s">
        <v>146</v>
      </c>
      <c r="I606" s="101" t="s">
        <v>203</v>
      </c>
      <c r="J606" s="101" t="s">
        <v>53</v>
      </c>
      <c r="K606" s="101" t="b">
        <v>0</v>
      </c>
      <c r="L606" s="97">
        <v>2017</v>
      </c>
      <c r="M606" s="98">
        <v>6.9699999999999998E-2</v>
      </c>
      <c r="N606" s="102">
        <v>41026</v>
      </c>
      <c r="O606" s="102">
        <v>41045</v>
      </c>
    </row>
    <row r="607" spans="1:15">
      <c r="A607" s="99">
        <v>2012</v>
      </c>
      <c r="B607" s="100" t="s">
        <v>192</v>
      </c>
      <c r="C607" s="100" t="s">
        <v>193</v>
      </c>
      <c r="D607" s="101">
        <v>1062000</v>
      </c>
      <c r="E607" s="101">
        <v>0</v>
      </c>
      <c r="F607" s="101"/>
      <c r="G607" s="101">
        <v>40</v>
      </c>
      <c r="H607" s="101">
        <v>18</v>
      </c>
      <c r="I607" s="101" t="s">
        <v>194</v>
      </c>
      <c r="J607" s="101" t="s">
        <v>69</v>
      </c>
      <c r="K607" s="101" t="b">
        <v>0</v>
      </c>
      <c r="L607" s="97">
        <v>2027</v>
      </c>
      <c r="M607" s="98">
        <v>1.5800000000000002E-2</v>
      </c>
      <c r="N607" s="102">
        <v>41026</v>
      </c>
      <c r="O607" s="102">
        <v>41045</v>
      </c>
    </row>
    <row r="608" spans="1:15">
      <c r="A608" s="99">
        <v>2012</v>
      </c>
      <c r="B608" s="100" t="s">
        <v>192</v>
      </c>
      <c r="C608" s="100" t="s">
        <v>193</v>
      </c>
      <c r="D608" s="101">
        <v>1062000</v>
      </c>
      <c r="E608" s="101">
        <v>0</v>
      </c>
      <c r="F608" s="101"/>
      <c r="G608" s="101">
        <v>4</v>
      </c>
      <c r="H608" s="101" t="s">
        <v>98</v>
      </c>
      <c r="I608" s="101"/>
      <c r="J608" s="101" t="s">
        <v>99</v>
      </c>
      <c r="K608" s="101" t="b">
        <v>1</v>
      </c>
      <c r="L608" s="97">
        <v>2026</v>
      </c>
      <c r="M608" s="98">
        <v>500000</v>
      </c>
      <c r="N608" s="102">
        <v>41026</v>
      </c>
      <c r="O608" s="102">
        <v>41045</v>
      </c>
    </row>
    <row r="609" spans="1:15">
      <c r="A609" s="99">
        <v>2012</v>
      </c>
      <c r="B609" s="100" t="s">
        <v>192</v>
      </c>
      <c r="C609" s="100" t="s">
        <v>193</v>
      </c>
      <c r="D609" s="101">
        <v>1062000</v>
      </c>
      <c r="E609" s="101">
        <v>0</v>
      </c>
      <c r="F609" s="101"/>
      <c r="G609" s="101">
        <v>52</v>
      </c>
      <c r="H609" s="101">
        <v>25</v>
      </c>
      <c r="I609" s="101" t="s">
        <v>214</v>
      </c>
      <c r="J609" s="101" t="s">
        <v>49</v>
      </c>
      <c r="K609" s="101" t="b">
        <v>1</v>
      </c>
      <c r="L609" s="97">
        <v>2023</v>
      </c>
      <c r="M609" s="98">
        <v>23815033</v>
      </c>
      <c r="N609" s="102">
        <v>41026</v>
      </c>
      <c r="O609" s="102">
        <v>41045</v>
      </c>
    </row>
    <row r="610" spans="1:15">
      <c r="A610" s="99">
        <v>2012</v>
      </c>
      <c r="B610" s="100" t="s">
        <v>192</v>
      </c>
      <c r="C610" s="100" t="s">
        <v>193</v>
      </c>
      <c r="D610" s="101">
        <v>1062000</v>
      </c>
      <c r="E610" s="101">
        <v>0</v>
      </c>
      <c r="F610" s="101"/>
      <c r="G610" s="101">
        <v>51</v>
      </c>
      <c r="H610" s="101">
        <v>24</v>
      </c>
      <c r="I610" s="101" t="s">
        <v>202</v>
      </c>
      <c r="J610" s="101" t="s">
        <v>150</v>
      </c>
      <c r="K610" s="101" t="b">
        <v>1</v>
      </c>
      <c r="L610" s="97">
        <v>2029</v>
      </c>
      <c r="M610" s="98">
        <v>456191390</v>
      </c>
      <c r="N610" s="102">
        <v>41026</v>
      </c>
      <c r="O610" s="102">
        <v>41045</v>
      </c>
    </row>
    <row r="611" spans="1:15">
      <c r="A611" s="99">
        <v>2012</v>
      </c>
      <c r="B611" s="100" t="s">
        <v>192</v>
      </c>
      <c r="C611" s="100" t="s">
        <v>193</v>
      </c>
      <c r="D611" s="101">
        <v>1062000</v>
      </c>
      <c r="E611" s="101">
        <v>0</v>
      </c>
      <c r="F611" s="101"/>
      <c r="G611" s="101">
        <v>42</v>
      </c>
      <c r="H611" s="101">
        <v>19</v>
      </c>
      <c r="I611" s="101" t="s">
        <v>200</v>
      </c>
      <c r="J611" s="101" t="s">
        <v>72</v>
      </c>
      <c r="K611" s="101" t="b">
        <v>1</v>
      </c>
      <c r="L611" s="97">
        <v>2019</v>
      </c>
      <c r="M611" s="98">
        <v>6.5799999999999997E-2</v>
      </c>
      <c r="N611" s="102">
        <v>41026</v>
      </c>
      <c r="O611" s="102">
        <v>41045</v>
      </c>
    </row>
    <row r="612" spans="1:15">
      <c r="A612" s="99">
        <v>2012</v>
      </c>
      <c r="B612" s="100" t="s">
        <v>192</v>
      </c>
      <c r="C612" s="100" t="s">
        <v>193</v>
      </c>
      <c r="D612" s="101">
        <v>1062000</v>
      </c>
      <c r="E612" s="101">
        <v>0</v>
      </c>
      <c r="F612" s="101"/>
      <c r="G612" s="101">
        <v>53</v>
      </c>
      <c r="H612" s="101">
        <v>26</v>
      </c>
      <c r="I612" s="101" t="s">
        <v>210</v>
      </c>
      <c r="J612" s="101" t="s">
        <v>151</v>
      </c>
      <c r="K612" s="101" t="b">
        <v>1</v>
      </c>
      <c r="L612" s="97">
        <v>2026</v>
      </c>
      <c r="M612" s="98">
        <v>444839286</v>
      </c>
      <c r="N612" s="102">
        <v>41026</v>
      </c>
      <c r="O612" s="102">
        <v>41045</v>
      </c>
    </row>
    <row r="613" spans="1:15">
      <c r="A613" s="99">
        <v>2012</v>
      </c>
      <c r="B613" s="100" t="s">
        <v>192</v>
      </c>
      <c r="C613" s="100" t="s">
        <v>193</v>
      </c>
      <c r="D613" s="101">
        <v>1062000</v>
      </c>
      <c r="E613" s="101">
        <v>0</v>
      </c>
      <c r="F613" s="101"/>
      <c r="G613" s="101">
        <v>55</v>
      </c>
      <c r="H613" s="101">
        <v>28</v>
      </c>
      <c r="I613" s="101" t="s">
        <v>205</v>
      </c>
      <c r="J613" s="101" t="s">
        <v>48</v>
      </c>
      <c r="K613" s="101" t="b">
        <v>0</v>
      </c>
      <c r="L613" s="97">
        <v>2017</v>
      </c>
      <c r="M613" s="98">
        <v>15586023</v>
      </c>
      <c r="N613" s="102">
        <v>41026</v>
      </c>
      <c r="O613" s="102">
        <v>41045</v>
      </c>
    </row>
    <row r="614" spans="1:15">
      <c r="A614" s="99">
        <v>2012</v>
      </c>
      <c r="B614" s="100" t="s">
        <v>192</v>
      </c>
      <c r="C614" s="100" t="s">
        <v>193</v>
      </c>
      <c r="D614" s="101">
        <v>1062000</v>
      </c>
      <c r="E614" s="101">
        <v>0</v>
      </c>
      <c r="F614" s="101"/>
      <c r="G614" s="101">
        <v>43</v>
      </c>
      <c r="H614" s="101" t="s">
        <v>144</v>
      </c>
      <c r="I614" s="101" t="s">
        <v>201</v>
      </c>
      <c r="J614" s="101" t="s">
        <v>74</v>
      </c>
      <c r="K614" s="101" t="b">
        <v>0</v>
      </c>
      <c r="L614" s="97">
        <v>2023</v>
      </c>
      <c r="M614" s="98">
        <v>3.78E-2</v>
      </c>
      <c r="N614" s="102">
        <v>41026</v>
      </c>
      <c r="O614" s="102">
        <v>41045</v>
      </c>
    </row>
    <row r="615" spans="1:15">
      <c r="A615" s="99">
        <v>2012</v>
      </c>
      <c r="B615" s="100" t="s">
        <v>192</v>
      </c>
      <c r="C615" s="100" t="s">
        <v>193</v>
      </c>
      <c r="D615" s="101">
        <v>1062000</v>
      </c>
      <c r="E615" s="101">
        <v>0</v>
      </c>
      <c r="F615" s="101"/>
      <c r="G615" s="101">
        <v>19</v>
      </c>
      <c r="H615" s="101">
        <v>6</v>
      </c>
      <c r="I615" s="101" t="s">
        <v>198</v>
      </c>
      <c r="J615" s="101" t="s">
        <v>121</v>
      </c>
      <c r="K615" s="101" t="b">
        <v>0</v>
      </c>
      <c r="L615" s="97">
        <v>2028</v>
      </c>
      <c r="M615" s="98">
        <v>29030483</v>
      </c>
      <c r="N615" s="102">
        <v>41026</v>
      </c>
      <c r="O615" s="102">
        <v>41045</v>
      </c>
    </row>
    <row r="616" spans="1:15">
      <c r="A616" s="99">
        <v>2012</v>
      </c>
      <c r="B616" s="100" t="s">
        <v>192</v>
      </c>
      <c r="C616" s="100" t="s">
        <v>193</v>
      </c>
      <c r="D616" s="101">
        <v>1062000</v>
      </c>
      <c r="E616" s="101">
        <v>0</v>
      </c>
      <c r="F616" s="101"/>
      <c r="G616" s="101">
        <v>42</v>
      </c>
      <c r="H616" s="101">
        <v>19</v>
      </c>
      <c r="I616" s="101" t="s">
        <v>200</v>
      </c>
      <c r="J616" s="101" t="s">
        <v>72</v>
      </c>
      <c r="K616" s="101" t="b">
        <v>1</v>
      </c>
      <c r="L616" s="97">
        <v>2023</v>
      </c>
      <c r="M616" s="98">
        <v>3.78E-2</v>
      </c>
      <c r="N616" s="102">
        <v>41026</v>
      </c>
      <c r="O616" s="102">
        <v>41045</v>
      </c>
    </row>
    <row r="617" spans="1:15">
      <c r="A617" s="99">
        <v>2012</v>
      </c>
      <c r="B617" s="100" t="s">
        <v>192</v>
      </c>
      <c r="C617" s="100" t="s">
        <v>193</v>
      </c>
      <c r="D617" s="101">
        <v>1062000</v>
      </c>
      <c r="E617" s="101">
        <v>0</v>
      </c>
      <c r="F617" s="101"/>
      <c r="G617" s="101">
        <v>45</v>
      </c>
      <c r="H617" s="101" t="s">
        <v>146</v>
      </c>
      <c r="I617" s="101" t="s">
        <v>203</v>
      </c>
      <c r="J617" s="101" t="s">
        <v>53</v>
      </c>
      <c r="K617" s="101" t="b">
        <v>0</v>
      </c>
      <c r="L617" s="97">
        <v>2026</v>
      </c>
      <c r="M617" s="98">
        <v>6.3100000000000003E-2</v>
      </c>
      <c r="N617" s="102">
        <v>41026</v>
      </c>
      <c r="O617" s="102">
        <v>41045</v>
      </c>
    </row>
    <row r="618" spans="1:15">
      <c r="A618" s="99">
        <v>2012</v>
      </c>
      <c r="B618" s="100" t="s">
        <v>192</v>
      </c>
      <c r="C618" s="100" t="s">
        <v>193</v>
      </c>
      <c r="D618" s="101">
        <v>1062000</v>
      </c>
      <c r="E618" s="101">
        <v>0</v>
      </c>
      <c r="F618" s="101"/>
      <c r="G618" s="101">
        <v>42</v>
      </c>
      <c r="H618" s="101">
        <v>19</v>
      </c>
      <c r="I618" s="101" t="s">
        <v>200</v>
      </c>
      <c r="J618" s="101" t="s">
        <v>72</v>
      </c>
      <c r="K618" s="101" t="b">
        <v>1</v>
      </c>
      <c r="L618" s="97">
        <v>2016</v>
      </c>
      <c r="M618" s="98">
        <v>7.1800000000000003E-2</v>
      </c>
      <c r="N618" s="102">
        <v>41026</v>
      </c>
      <c r="O618" s="102">
        <v>41045</v>
      </c>
    </row>
    <row r="619" spans="1:15">
      <c r="A619" s="99">
        <v>2012</v>
      </c>
      <c r="B619" s="100" t="s">
        <v>192</v>
      </c>
      <c r="C619" s="100" t="s">
        <v>193</v>
      </c>
      <c r="D619" s="101">
        <v>1062000</v>
      </c>
      <c r="E619" s="101">
        <v>0</v>
      </c>
      <c r="F619" s="101"/>
      <c r="G619" s="101">
        <v>7</v>
      </c>
      <c r="H619" s="101">
        <v>2</v>
      </c>
      <c r="I619" s="101"/>
      <c r="J619" s="101" t="s">
        <v>3</v>
      </c>
      <c r="K619" s="101" t="b">
        <v>1</v>
      </c>
      <c r="L619" s="97">
        <v>2012</v>
      </c>
      <c r="M619" s="98">
        <v>275981359.82999998</v>
      </c>
      <c r="N619" s="102">
        <v>41026</v>
      </c>
      <c r="O619" s="102">
        <v>41045</v>
      </c>
    </row>
    <row r="620" spans="1:15">
      <c r="A620" s="99">
        <v>2012</v>
      </c>
      <c r="B620" s="100" t="s">
        <v>192</v>
      </c>
      <c r="C620" s="100" t="s">
        <v>193</v>
      </c>
      <c r="D620" s="101">
        <v>1062000</v>
      </c>
      <c r="E620" s="101">
        <v>0</v>
      </c>
      <c r="F620" s="101"/>
      <c r="G620" s="101">
        <v>43</v>
      </c>
      <c r="H620" s="101" t="s">
        <v>144</v>
      </c>
      <c r="I620" s="101" t="s">
        <v>201</v>
      </c>
      <c r="J620" s="101" t="s">
        <v>74</v>
      </c>
      <c r="K620" s="101" t="b">
        <v>0</v>
      </c>
      <c r="L620" s="97">
        <v>2013</v>
      </c>
      <c r="M620" s="98">
        <v>6.0900000000000003E-2</v>
      </c>
      <c r="N620" s="102">
        <v>41026</v>
      </c>
      <c r="O620" s="102">
        <v>41045</v>
      </c>
    </row>
    <row r="621" spans="1:15">
      <c r="A621" s="99">
        <v>2012</v>
      </c>
      <c r="B621" s="100" t="s">
        <v>192</v>
      </c>
      <c r="C621" s="100" t="s">
        <v>193</v>
      </c>
      <c r="D621" s="101">
        <v>1062000</v>
      </c>
      <c r="E621" s="101">
        <v>0</v>
      </c>
      <c r="F621" s="101"/>
      <c r="G621" s="101">
        <v>8</v>
      </c>
      <c r="H621" s="101" t="s">
        <v>104</v>
      </c>
      <c r="I621" s="101"/>
      <c r="J621" s="101" t="s">
        <v>105</v>
      </c>
      <c r="K621" s="101" t="b">
        <v>0</v>
      </c>
      <c r="L621" s="97">
        <v>2025</v>
      </c>
      <c r="M621" s="98">
        <v>167468281</v>
      </c>
      <c r="N621" s="102">
        <v>41026</v>
      </c>
      <c r="O621" s="102">
        <v>41045</v>
      </c>
    </row>
    <row r="622" spans="1:15">
      <c r="A622" s="99">
        <v>2012</v>
      </c>
      <c r="B622" s="100" t="s">
        <v>192</v>
      </c>
      <c r="C622" s="100" t="s">
        <v>193</v>
      </c>
      <c r="D622" s="101">
        <v>1062000</v>
      </c>
      <c r="E622" s="101">
        <v>0</v>
      </c>
      <c r="F622" s="101"/>
      <c r="G622" s="101">
        <v>4</v>
      </c>
      <c r="H622" s="101" t="s">
        <v>98</v>
      </c>
      <c r="I622" s="101"/>
      <c r="J622" s="101" t="s">
        <v>99</v>
      </c>
      <c r="K622" s="101" t="b">
        <v>1</v>
      </c>
      <c r="L622" s="97">
        <v>2015</v>
      </c>
      <c r="M622" s="98">
        <v>18972734</v>
      </c>
      <c r="N622" s="102">
        <v>41026</v>
      </c>
      <c r="O622" s="102">
        <v>41045</v>
      </c>
    </row>
    <row r="623" spans="1:15">
      <c r="A623" s="99">
        <v>2012</v>
      </c>
      <c r="B623" s="100" t="s">
        <v>192</v>
      </c>
      <c r="C623" s="100" t="s">
        <v>193</v>
      </c>
      <c r="D623" s="101">
        <v>1062000</v>
      </c>
      <c r="E623" s="101">
        <v>0</v>
      </c>
      <c r="F623" s="101"/>
      <c r="G623" s="101">
        <v>33</v>
      </c>
      <c r="H623" s="101">
        <v>13</v>
      </c>
      <c r="I623" s="101"/>
      <c r="J623" s="101" t="s">
        <v>66</v>
      </c>
      <c r="K623" s="101" t="b">
        <v>1</v>
      </c>
      <c r="L623" s="97">
        <v>2015</v>
      </c>
      <c r="M623" s="98">
        <v>171457055.37</v>
      </c>
      <c r="N623" s="102">
        <v>41026</v>
      </c>
      <c r="O623" s="102">
        <v>41045</v>
      </c>
    </row>
    <row r="624" spans="1:15">
      <c r="A624" s="99">
        <v>2012</v>
      </c>
      <c r="B624" s="100" t="s">
        <v>192</v>
      </c>
      <c r="C624" s="100" t="s">
        <v>193</v>
      </c>
      <c r="D624" s="101">
        <v>1062000</v>
      </c>
      <c r="E624" s="101">
        <v>0</v>
      </c>
      <c r="F624" s="101"/>
      <c r="G624" s="101">
        <v>43</v>
      </c>
      <c r="H624" s="101" t="s">
        <v>144</v>
      </c>
      <c r="I624" s="101" t="s">
        <v>201</v>
      </c>
      <c r="J624" s="101" t="s">
        <v>74</v>
      </c>
      <c r="K624" s="101" t="b">
        <v>0</v>
      </c>
      <c r="L624" s="97">
        <v>2026</v>
      </c>
      <c r="M624" s="98">
        <v>8.3000000000000001E-3</v>
      </c>
      <c r="N624" s="102">
        <v>41026</v>
      </c>
      <c r="O624" s="102">
        <v>41045</v>
      </c>
    </row>
    <row r="625" spans="1:15">
      <c r="A625" s="99">
        <v>2012</v>
      </c>
      <c r="B625" s="100" t="s">
        <v>192</v>
      </c>
      <c r="C625" s="100" t="s">
        <v>193</v>
      </c>
      <c r="D625" s="101">
        <v>1062000</v>
      </c>
      <c r="E625" s="101">
        <v>0</v>
      </c>
      <c r="F625" s="101"/>
      <c r="G625" s="101">
        <v>55</v>
      </c>
      <c r="H625" s="101">
        <v>28</v>
      </c>
      <c r="I625" s="101" t="s">
        <v>205</v>
      </c>
      <c r="J625" s="101" t="s">
        <v>48</v>
      </c>
      <c r="K625" s="101" t="b">
        <v>0</v>
      </c>
      <c r="L625" s="97">
        <v>2020</v>
      </c>
      <c r="M625" s="98">
        <v>20700000</v>
      </c>
      <c r="N625" s="102">
        <v>41026</v>
      </c>
      <c r="O625" s="102">
        <v>41045</v>
      </c>
    </row>
    <row r="626" spans="1:15">
      <c r="A626" s="99">
        <v>2012</v>
      </c>
      <c r="B626" s="100" t="s">
        <v>192</v>
      </c>
      <c r="C626" s="100" t="s">
        <v>193</v>
      </c>
      <c r="D626" s="101">
        <v>1062000</v>
      </c>
      <c r="E626" s="101">
        <v>0</v>
      </c>
      <c r="F626" s="101"/>
      <c r="G626" s="101">
        <v>9</v>
      </c>
      <c r="H626" s="101" t="s">
        <v>106</v>
      </c>
      <c r="I626" s="101"/>
      <c r="J626" s="101" t="s">
        <v>107</v>
      </c>
      <c r="K626" s="101" t="b">
        <v>0</v>
      </c>
      <c r="L626" s="97">
        <v>2024</v>
      </c>
      <c r="M626" s="98">
        <v>22998830</v>
      </c>
      <c r="N626" s="102">
        <v>41026</v>
      </c>
      <c r="O626" s="102">
        <v>41045</v>
      </c>
    </row>
    <row r="627" spans="1:15">
      <c r="A627" s="99">
        <v>2012</v>
      </c>
      <c r="B627" s="100" t="s">
        <v>192</v>
      </c>
      <c r="C627" s="100" t="s">
        <v>193</v>
      </c>
      <c r="D627" s="101">
        <v>1062000</v>
      </c>
      <c r="E627" s="101">
        <v>0</v>
      </c>
      <c r="F627" s="101"/>
      <c r="G627" s="101">
        <v>5</v>
      </c>
      <c r="H627" s="101" t="s">
        <v>100</v>
      </c>
      <c r="I627" s="101"/>
      <c r="J627" s="101" t="s">
        <v>101</v>
      </c>
      <c r="K627" s="101" t="b">
        <v>1</v>
      </c>
      <c r="L627" s="97">
        <v>2028</v>
      </c>
      <c r="M627" s="98">
        <v>500000</v>
      </c>
      <c r="N627" s="102">
        <v>41026</v>
      </c>
      <c r="O627" s="102">
        <v>41045</v>
      </c>
    </row>
    <row r="628" spans="1:15">
      <c r="A628" s="99">
        <v>2012</v>
      </c>
      <c r="B628" s="100" t="s">
        <v>192</v>
      </c>
      <c r="C628" s="100" t="s">
        <v>193</v>
      </c>
      <c r="D628" s="101">
        <v>1062000</v>
      </c>
      <c r="E628" s="101">
        <v>0</v>
      </c>
      <c r="F628" s="101"/>
      <c r="G628" s="101">
        <v>12</v>
      </c>
      <c r="H628" s="101" t="s">
        <v>112</v>
      </c>
      <c r="I628" s="101"/>
      <c r="J628" s="101" t="s">
        <v>113</v>
      </c>
      <c r="K628" s="101" t="b">
        <v>0</v>
      </c>
      <c r="L628" s="97">
        <v>2012</v>
      </c>
      <c r="M628" s="98">
        <v>7541339.0700000003</v>
      </c>
      <c r="N628" s="102">
        <v>41026</v>
      </c>
      <c r="O628" s="102">
        <v>41045</v>
      </c>
    </row>
    <row r="629" spans="1:15">
      <c r="A629" s="99">
        <v>2012</v>
      </c>
      <c r="B629" s="100" t="s">
        <v>192</v>
      </c>
      <c r="C629" s="100" t="s">
        <v>193</v>
      </c>
      <c r="D629" s="101">
        <v>1062000</v>
      </c>
      <c r="E629" s="101">
        <v>0</v>
      </c>
      <c r="F629" s="101"/>
      <c r="G629" s="101">
        <v>24</v>
      </c>
      <c r="H629" s="101" t="s">
        <v>128</v>
      </c>
      <c r="I629" s="101"/>
      <c r="J629" s="101" t="s">
        <v>129</v>
      </c>
      <c r="K629" s="101" t="b">
        <v>1</v>
      </c>
      <c r="L629" s="97">
        <v>2016</v>
      </c>
      <c r="M629" s="98">
        <v>7074756</v>
      </c>
      <c r="N629" s="102">
        <v>41026</v>
      </c>
      <c r="O629" s="102">
        <v>41045</v>
      </c>
    </row>
    <row r="630" spans="1:15">
      <c r="A630" s="99">
        <v>2012</v>
      </c>
      <c r="B630" s="100" t="s">
        <v>192</v>
      </c>
      <c r="C630" s="100" t="s">
        <v>193</v>
      </c>
      <c r="D630" s="101">
        <v>1062000</v>
      </c>
      <c r="E630" s="101">
        <v>0</v>
      </c>
      <c r="F630" s="101"/>
      <c r="G630" s="101">
        <v>55</v>
      </c>
      <c r="H630" s="101">
        <v>28</v>
      </c>
      <c r="I630" s="101" t="s">
        <v>205</v>
      </c>
      <c r="J630" s="101" t="s">
        <v>48</v>
      </c>
      <c r="K630" s="101" t="b">
        <v>0</v>
      </c>
      <c r="L630" s="97">
        <v>2019</v>
      </c>
      <c r="M630" s="98">
        <v>19400000</v>
      </c>
      <c r="N630" s="102">
        <v>41026</v>
      </c>
      <c r="O630" s="102">
        <v>41045</v>
      </c>
    </row>
    <row r="631" spans="1:15">
      <c r="A631" s="99">
        <v>2012</v>
      </c>
      <c r="B631" s="100" t="s">
        <v>192</v>
      </c>
      <c r="C631" s="100" t="s">
        <v>193</v>
      </c>
      <c r="D631" s="101">
        <v>1062000</v>
      </c>
      <c r="E631" s="101">
        <v>0</v>
      </c>
      <c r="F631" s="101"/>
      <c r="G631" s="101">
        <v>37</v>
      </c>
      <c r="H631" s="101">
        <v>16</v>
      </c>
      <c r="I631" s="101"/>
      <c r="J631" s="101" t="s">
        <v>140</v>
      </c>
      <c r="K631" s="101" t="b">
        <v>1</v>
      </c>
      <c r="L631" s="97">
        <v>2028</v>
      </c>
      <c r="M631" s="98">
        <v>3625279</v>
      </c>
      <c r="N631" s="102">
        <v>41026</v>
      </c>
      <c r="O631" s="102">
        <v>41045</v>
      </c>
    </row>
    <row r="632" spans="1:15">
      <c r="A632" s="99">
        <v>2012</v>
      </c>
      <c r="B632" s="100" t="s">
        <v>192</v>
      </c>
      <c r="C632" s="100" t="s">
        <v>193</v>
      </c>
      <c r="D632" s="101">
        <v>1062000</v>
      </c>
      <c r="E632" s="101">
        <v>0</v>
      </c>
      <c r="F632" s="101"/>
      <c r="G632" s="101">
        <v>20</v>
      </c>
      <c r="H632" s="101">
        <v>7</v>
      </c>
      <c r="I632" s="101" t="s">
        <v>215</v>
      </c>
      <c r="J632" s="101" t="s">
        <v>12</v>
      </c>
      <c r="K632" s="101" t="b">
        <v>1</v>
      </c>
      <c r="L632" s="97">
        <v>2026</v>
      </c>
      <c r="M632" s="98">
        <v>3697785</v>
      </c>
      <c r="N632" s="102">
        <v>41026</v>
      </c>
      <c r="O632" s="102">
        <v>41045</v>
      </c>
    </row>
    <row r="633" spans="1:15">
      <c r="A633" s="99">
        <v>2012</v>
      </c>
      <c r="B633" s="100" t="s">
        <v>192</v>
      </c>
      <c r="C633" s="100" t="s">
        <v>193</v>
      </c>
      <c r="D633" s="101">
        <v>1062000</v>
      </c>
      <c r="E633" s="101">
        <v>0</v>
      </c>
      <c r="F633" s="101"/>
      <c r="G633" s="101">
        <v>51</v>
      </c>
      <c r="H633" s="101">
        <v>24</v>
      </c>
      <c r="I633" s="101" t="s">
        <v>202</v>
      </c>
      <c r="J633" s="101" t="s">
        <v>150</v>
      </c>
      <c r="K633" s="101" t="b">
        <v>1</v>
      </c>
      <c r="L633" s="97">
        <v>2025</v>
      </c>
      <c r="M633" s="98">
        <v>405378563</v>
      </c>
      <c r="N633" s="102">
        <v>41026</v>
      </c>
      <c r="O633" s="102">
        <v>41045</v>
      </c>
    </row>
    <row r="634" spans="1:15">
      <c r="A634" s="99">
        <v>2012</v>
      </c>
      <c r="B634" s="100" t="s">
        <v>192</v>
      </c>
      <c r="C634" s="100" t="s">
        <v>193</v>
      </c>
      <c r="D634" s="101">
        <v>1062000</v>
      </c>
      <c r="E634" s="101">
        <v>0</v>
      </c>
      <c r="F634" s="101"/>
      <c r="G634" s="101">
        <v>8</v>
      </c>
      <c r="H634" s="101" t="s">
        <v>104</v>
      </c>
      <c r="I634" s="101"/>
      <c r="J634" s="101" t="s">
        <v>105</v>
      </c>
      <c r="K634" s="101" t="b">
        <v>0</v>
      </c>
      <c r="L634" s="97">
        <v>2018</v>
      </c>
      <c r="M634" s="98">
        <v>150893408</v>
      </c>
      <c r="N634" s="102">
        <v>41026</v>
      </c>
      <c r="O634" s="102">
        <v>41045</v>
      </c>
    </row>
    <row r="635" spans="1:15">
      <c r="A635" s="99">
        <v>2012</v>
      </c>
      <c r="B635" s="100" t="s">
        <v>192</v>
      </c>
      <c r="C635" s="100" t="s">
        <v>193</v>
      </c>
      <c r="D635" s="101">
        <v>1062000</v>
      </c>
      <c r="E635" s="101">
        <v>0</v>
      </c>
      <c r="F635" s="101"/>
      <c r="G635" s="101">
        <v>23</v>
      </c>
      <c r="H635" s="101" t="s">
        <v>126</v>
      </c>
      <c r="I635" s="101"/>
      <c r="J635" s="101" t="s">
        <v>127</v>
      </c>
      <c r="K635" s="101" t="b">
        <v>1</v>
      </c>
      <c r="L635" s="97">
        <v>2018</v>
      </c>
      <c r="M635" s="98">
        <v>5633007</v>
      </c>
      <c r="N635" s="102">
        <v>41026</v>
      </c>
      <c r="O635" s="102">
        <v>41045</v>
      </c>
    </row>
    <row r="636" spans="1:15">
      <c r="A636" s="99">
        <v>2012</v>
      </c>
      <c r="B636" s="100" t="s">
        <v>192</v>
      </c>
      <c r="C636" s="100" t="s">
        <v>193</v>
      </c>
      <c r="D636" s="101">
        <v>1062000</v>
      </c>
      <c r="E636" s="101">
        <v>0</v>
      </c>
      <c r="F636" s="101"/>
      <c r="G636" s="101">
        <v>54</v>
      </c>
      <c r="H636" s="101">
        <v>27</v>
      </c>
      <c r="I636" s="101" t="s">
        <v>213</v>
      </c>
      <c r="J636" s="101" t="s">
        <v>46</v>
      </c>
      <c r="K636" s="101" t="b">
        <v>0</v>
      </c>
      <c r="L636" s="97">
        <v>2026</v>
      </c>
      <c r="M636" s="98">
        <v>441214007</v>
      </c>
      <c r="N636" s="102">
        <v>41026</v>
      </c>
      <c r="O636" s="102">
        <v>41045</v>
      </c>
    </row>
    <row r="637" spans="1:15">
      <c r="A637" s="99">
        <v>2012</v>
      </c>
      <c r="B637" s="100" t="s">
        <v>192</v>
      </c>
      <c r="C637" s="100" t="s">
        <v>193</v>
      </c>
      <c r="D637" s="101">
        <v>1062000</v>
      </c>
      <c r="E637" s="101">
        <v>0</v>
      </c>
      <c r="F637" s="101"/>
      <c r="G637" s="101">
        <v>7</v>
      </c>
      <c r="H637" s="101">
        <v>2</v>
      </c>
      <c r="I637" s="101"/>
      <c r="J637" s="101" t="s">
        <v>3</v>
      </c>
      <c r="K637" s="101" t="b">
        <v>1</v>
      </c>
      <c r="L637" s="97">
        <v>2021</v>
      </c>
      <c r="M637" s="98">
        <v>360093078</v>
      </c>
      <c r="N637" s="102">
        <v>41026</v>
      </c>
      <c r="O637" s="102">
        <v>41045</v>
      </c>
    </row>
    <row r="638" spans="1:15">
      <c r="A638" s="99">
        <v>2012</v>
      </c>
      <c r="B638" s="100" t="s">
        <v>192</v>
      </c>
      <c r="C638" s="100" t="s">
        <v>193</v>
      </c>
      <c r="D638" s="101">
        <v>1062000</v>
      </c>
      <c r="E638" s="101">
        <v>0</v>
      </c>
      <c r="F638" s="101"/>
      <c r="G638" s="101">
        <v>21</v>
      </c>
      <c r="H638" s="101" t="s">
        <v>122</v>
      </c>
      <c r="I638" s="101"/>
      <c r="J638" s="101" t="s">
        <v>123</v>
      </c>
      <c r="K638" s="101" t="b">
        <v>1</v>
      </c>
      <c r="L638" s="97">
        <v>2025</v>
      </c>
      <c r="M638" s="98">
        <v>3625279</v>
      </c>
      <c r="N638" s="102">
        <v>41026</v>
      </c>
      <c r="O638" s="102">
        <v>41045</v>
      </c>
    </row>
    <row r="639" spans="1:15">
      <c r="A639" s="99">
        <v>2012</v>
      </c>
      <c r="B639" s="100" t="s">
        <v>192</v>
      </c>
      <c r="C639" s="100" t="s">
        <v>193</v>
      </c>
      <c r="D639" s="101">
        <v>1062000</v>
      </c>
      <c r="E639" s="101">
        <v>0</v>
      </c>
      <c r="F639" s="101"/>
      <c r="G639" s="101">
        <v>26</v>
      </c>
      <c r="H639" s="101">
        <v>9</v>
      </c>
      <c r="I639" s="101" t="s">
        <v>204</v>
      </c>
      <c r="J639" s="101" t="s">
        <v>131</v>
      </c>
      <c r="K639" s="101" t="b">
        <v>0</v>
      </c>
      <c r="L639" s="97">
        <v>2013</v>
      </c>
      <c r="M639" s="98">
        <v>86174085.349999994</v>
      </c>
      <c r="N639" s="102">
        <v>41026</v>
      </c>
      <c r="O639" s="102">
        <v>41045</v>
      </c>
    </row>
    <row r="640" spans="1:15">
      <c r="A640" s="99">
        <v>2012</v>
      </c>
      <c r="B640" s="100" t="s">
        <v>192</v>
      </c>
      <c r="C640" s="100" t="s">
        <v>193</v>
      </c>
      <c r="D640" s="101">
        <v>1062000</v>
      </c>
      <c r="E640" s="101">
        <v>0</v>
      </c>
      <c r="F640" s="101"/>
      <c r="G640" s="101">
        <v>23</v>
      </c>
      <c r="H640" s="101" t="s">
        <v>126</v>
      </c>
      <c r="I640" s="101"/>
      <c r="J640" s="101" t="s">
        <v>127</v>
      </c>
      <c r="K640" s="101" t="b">
        <v>1</v>
      </c>
      <c r="L640" s="97">
        <v>2024</v>
      </c>
      <c r="M640" s="98">
        <v>108758</v>
      </c>
      <c r="N640" s="102">
        <v>41026</v>
      </c>
      <c r="O640" s="102">
        <v>41045</v>
      </c>
    </row>
    <row r="641" spans="1:15">
      <c r="A641" s="99">
        <v>2012</v>
      </c>
      <c r="B641" s="100" t="s">
        <v>192</v>
      </c>
      <c r="C641" s="100" t="s">
        <v>193</v>
      </c>
      <c r="D641" s="101">
        <v>1062000</v>
      </c>
      <c r="E641" s="101">
        <v>0</v>
      </c>
      <c r="F641" s="101"/>
      <c r="G641" s="101">
        <v>35</v>
      </c>
      <c r="H641" s="101">
        <v>14</v>
      </c>
      <c r="I641" s="101"/>
      <c r="J641" s="101" t="s">
        <v>68</v>
      </c>
      <c r="K641" s="101" t="b">
        <v>1</v>
      </c>
      <c r="L641" s="97">
        <v>2013</v>
      </c>
      <c r="M641" s="98">
        <v>77860173.469999999</v>
      </c>
      <c r="N641" s="102">
        <v>41026</v>
      </c>
      <c r="O641" s="102">
        <v>41045</v>
      </c>
    </row>
    <row r="642" spans="1:15">
      <c r="A642" s="99">
        <v>2012</v>
      </c>
      <c r="B642" s="100" t="s">
        <v>192</v>
      </c>
      <c r="C642" s="100" t="s">
        <v>193</v>
      </c>
      <c r="D642" s="101">
        <v>1062000</v>
      </c>
      <c r="E642" s="101">
        <v>0</v>
      </c>
      <c r="F642" s="101"/>
      <c r="G642" s="101">
        <v>1</v>
      </c>
      <c r="H642" s="101">
        <v>1</v>
      </c>
      <c r="I642" s="101" t="s">
        <v>212</v>
      </c>
      <c r="J642" s="101" t="s">
        <v>93</v>
      </c>
      <c r="K642" s="101" t="b">
        <v>1</v>
      </c>
      <c r="L642" s="97">
        <v>2021</v>
      </c>
      <c r="M642" s="98">
        <v>387290971</v>
      </c>
      <c r="N642" s="102">
        <v>41026</v>
      </c>
      <c r="O642" s="102">
        <v>41045</v>
      </c>
    </row>
    <row r="643" spans="1:15">
      <c r="A643" s="99">
        <v>2012</v>
      </c>
      <c r="B643" s="100" t="s">
        <v>192</v>
      </c>
      <c r="C643" s="100" t="s">
        <v>193</v>
      </c>
      <c r="D643" s="101">
        <v>1062000</v>
      </c>
      <c r="E643" s="101">
        <v>0</v>
      </c>
      <c r="F643" s="101"/>
      <c r="G643" s="101">
        <v>29</v>
      </c>
      <c r="H643" s="101" t="s">
        <v>134</v>
      </c>
      <c r="I643" s="101"/>
      <c r="J643" s="101" t="s">
        <v>115</v>
      </c>
      <c r="K643" s="101" t="b">
        <v>0</v>
      </c>
      <c r="L643" s="97">
        <v>2015</v>
      </c>
      <c r="M643" s="98">
        <v>331361.78000000003</v>
      </c>
      <c r="N643" s="102">
        <v>41026</v>
      </c>
      <c r="O643" s="102">
        <v>41045</v>
      </c>
    </row>
    <row r="644" spans="1:15">
      <c r="A644" s="99">
        <v>2012</v>
      </c>
      <c r="B644" s="100" t="s">
        <v>192</v>
      </c>
      <c r="C644" s="100" t="s">
        <v>193</v>
      </c>
      <c r="D644" s="101">
        <v>1062000</v>
      </c>
      <c r="E644" s="101">
        <v>0</v>
      </c>
      <c r="F644" s="101"/>
      <c r="G644" s="101">
        <v>9</v>
      </c>
      <c r="H644" s="101" t="s">
        <v>106</v>
      </c>
      <c r="I644" s="101"/>
      <c r="J644" s="101" t="s">
        <v>107</v>
      </c>
      <c r="K644" s="101" t="b">
        <v>0</v>
      </c>
      <c r="L644" s="97">
        <v>2027</v>
      </c>
      <c r="M644" s="98">
        <v>24049379</v>
      </c>
      <c r="N644" s="102">
        <v>41026</v>
      </c>
      <c r="O644" s="102">
        <v>41045</v>
      </c>
    </row>
    <row r="645" spans="1:15">
      <c r="A645" s="99">
        <v>2012</v>
      </c>
      <c r="B645" s="100" t="s">
        <v>192</v>
      </c>
      <c r="C645" s="100" t="s">
        <v>193</v>
      </c>
      <c r="D645" s="101">
        <v>1062000</v>
      </c>
      <c r="E645" s="101">
        <v>0</v>
      </c>
      <c r="F645" s="101"/>
      <c r="G645" s="101">
        <v>40</v>
      </c>
      <c r="H645" s="101">
        <v>18</v>
      </c>
      <c r="I645" s="101" t="s">
        <v>194</v>
      </c>
      <c r="J645" s="101" t="s">
        <v>69</v>
      </c>
      <c r="K645" s="101" t="b">
        <v>0</v>
      </c>
      <c r="L645" s="97">
        <v>2026</v>
      </c>
      <c r="M645" s="98">
        <v>2.4400000000000002E-2</v>
      </c>
      <c r="N645" s="102">
        <v>41026</v>
      </c>
      <c r="O645" s="102">
        <v>41045</v>
      </c>
    </row>
    <row r="646" spans="1:15">
      <c r="A646" s="99">
        <v>2012</v>
      </c>
      <c r="B646" s="100" t="s">
        <v>192</v>
      </c>
      <c r="C646" s="100" t="s">
        <v>193</v>
      </c>
      <c r="D646" s="101">
        <v>1062000</v>
      </c>
      <c r="E646" s="101">
        <v>0</v>
      </c>
      <c r="F646" s="101"/>
      <c r="G646" s="101">
        <v>46</v>
      </c>
      <c r="H646" s="101">
        <v>21</v>
      </c>
      <c r="I646" s="101" t="s">
        <v>208</v>
      </c>
      <c r="J646" s="101" t="s">
        <v>54</v>
      </c>
      <c r="K646" s="101" t="b">
        <v>1</v>
      </c>
      <c r="L646" s="97">
        <v>2012</v>
      </c>
      <c r="M646" s="98">
        <v>5.4800000000000001E-2</v>
      </c>
      <c r="N646" s="102">
        <v>41026</v>
      </c>
      <c r="O646" s="102">
        <v>41045</v>
      </c>
    </row>
    <row r="647" spans="1:15">
      <c r="A647" s="99">
        <v>2012</v>
      </c>
      <c r="B647" s="100" t="s">
        <v>192</v>
      </c>
      <c r="C647" s="100" t="s">
        <v>193</v>
      </c>
      <c r="D647" s="101">
        <v>1062000</v>
      </c>
      <c r="E647" s="101">
        <v>0</v>
      </c>
      <c r="F647" s="101"/>
      <c r="G647" s="101">
        <v>55</v>
      </c>
      <c r="H647" s="101">
        <v>28</v>
      </c>
      <c r="I647" s="101" t="s">
        <v>205</v>
      </c>
      <c r="J647" s="101" t="s">
        <v>48</v>
      </c>
      <c r="K647" s="101" t="b">
        <v>0</v>
      </c>
      <c r="L647" s="97">
        <v>2013</v>
      </c>
      <c r="M647" s="98">
        <v>-29333786.190000001</v>
      </c>
      <c r="N647" s="102">
        <v>41026</v>
      </c>
      <c r="O647" s="102">
        <v>41045</v>
      </c>
    </row>
    <row r="648" spans="1:15">
      <c r="A648" s="99">
        <v>2012</v>
      </c>
      <c r="B648" s="100" t="s">
        <v>192</v>
      </c>
      <c r="C648" s="100" t="s">
        <v>193</v>
      </c>
      <c r="D648" s="101">
        <v>1062000</v>
      </c>
      <c r="E648" s="101">
        <v>0</v>
      </c>
      <c r="F648" s="101"/>
      <c r="G648" s="101">
        <v>46</v>
      </c>
      <c r="H648" s="101">
        <v>21</v>
      </c>
      <c r="I648" s="101" t="s">
        <v>208</v>
      </c>
      <c r="J648" s="101" t="s">
        <v>54</v>
      </c>
      <c r="K648" s="101" t="b">
        <v>1</v>
      </c>
      <c r="L648" s="97">
        <v>2029</v>
      </c>
      <c r="M648" s="98">
        <v>7.4999999999999997E-3</v>
      </c>
      <c r="N648" s="102">
        <v>41026</v>
      </c>
      <c r="O648" s="102">
        <v>41045</v>
      </c>
    </row>
    <row r="649" spans="1:15">
      <c r="A649" s="99">
        <v>2012</v>
      </c>
      <c r="B649" s="100" t="s">
        <v>192</v>
      </c>
      <c r="C649" s="100" t="s">
        <v>193</v>
      </c>
      <c r="D649" s="101">
        <v>1062000</v>
      </c>
      <c r="E649" s="101">
        <v>0</v>
      </c>
      <c r="F649" s="101"/>
      <c r="G649" s="101">
        <v>52</v>
      </c>
      <c r="H649" s="101">
        <v>25</v>
      </c>
      <c r="I649" s="101" t="s">
        <v>214</v>
      </c>
      <c r="J649" s="101" t="s">
        <v>49</v>
      </c>
      <c r="K649" s="101" t="b">
        <v>1</v>
      </c>
      <c r="L649" s="97">
        <v>2013</v>
      </c>
      <c r="M649" s="98">
        <v>31880678.350000001</v>
      </c>
      <c r="N649" s="102">
        <v>41026</v>
      </c>
      <c r="O649" s="102">
        <v>41045</v>
      </c>
    </row>
    <row r="650" spans="1:15">
      <c r="A650" s="99">
        <v>2012</v>
      </c>
      <c r="B650" s="100" t="s">
        <v>192</v>
      </c>
      <c r="C650" s="100" t="s">
        <v>193</v>
      </c>
      <c r="D650" s="101">
        <v>1062000</v>
      </c>
      <c r="E650" s="101">
        <v>0</v>
      </c>
      <c r="F650" s="101"/>
      <c r="G650" s="101">
        <v>26</v>
      </c>
      <c r="H650" s="101">
        <v>9</v>
      </c>
      <c r="I650" s="101" t="s">
        <v>204</v>
      </c>
      <c r="J650" s="101" t="s">
        <v>131</v>
      </c>
      <c r="K650" s="101" t="b">
        <v>0</v>
      </c>
      <c r="L650" s="97">
        <v>2020</v>
      </c>
      <c r="M650" s="98">
        <v>3893266</v>
      </c>
      <c r="N650" s="102">
        <v>41026</v>
      </c>
      <c r="O650" s="102">
        <v>41045</v>
      </c>
    </row>
    <row r="651" spans="1:15">
      <c r="A651" s="99">
        <v>2012</v>
      </c>
      <c r="B651" s="100" t="s">
        <v>192</v>
      </c>
      <c r="C651" s="100" t="s">
        <v>193</v>
      </c>
      <c r="D651" s="101">
        <v>1062000</v>
      </c>
      <c r="E651" s="101">
        <v>0</v>
      </c>
      <c r="F651" s="101"/>
      <c r="G651" s="101">
        <v>8</v>
      </c>
      <c r="H651" s="101" t="s">
        <v>104</v>
      </c>
      <c r="I651" s="101"/>
      <c r="J651" s="101" t="s">
        <v>105</v>
      </c>
      <c r="K651" s="101" t="b">
        <v>0</v>
      </c>
      <c r="L651" s="97">
        <v>2027</v>
      </c>
      <c r="M651" s="98">
        <v>172530010</v>
      </c>
      <c r="N651" s="102">
        <v>41026</v>
      </c>
      <c r="O651" s="102">
        <v>41045</v>
      </c>
    </row>
    <row r="652" spans="1:15">
      <c r="A652" s="99">
        <v>2012</v>
      </c>
      <c r="B652" s="100" t="s">
        <v>192</v>
      </c>
      <c r="C652" s="100" t="s">
        <v>193</v>
      </c>
      <c r="D652" s="101">
        <v>1062000</v>
      </c>
      <c r="E652" s="101">
        <v>0</v>
      </c>
      <c r="F652" s="101"/>
      <c r="G652" s="101">
        <v>5</v>
      </c>
      <c r="H652" s="101" t="s">
        <v>100</v>
      </c>
      <c r="I652" s="101"/>
      <c r="J652" s="101" t="s">
        <v>101</v>
      </c>
      <c r="K652" s="101" t="b">
        <v>1</v>
      </c>
      <c r="L652" s="97">
        <v>2030</v>
      </c>
      <c r="M652" s="98">
        <v>500000</v>
      </c>
      <c r="N652" s="102">
        <v>41026</v>
      </c>
      <c r="O652" s="102">
        <v>41045</v>
      </c>
    </row>
    <row r="653" spans="1:15">
      <c r="A653" s="99">
        <v>2012</v>
      </c>
      <c r="B653" s="100" t="s">
        <v>192</v>
      </c>
      <c r="C653" s="100" t="s">
        <v>193</v>
      </c>
      <c r="D653" s="101">
        <v>1062000</v>
      </c>
      <c r="E653" s="101">
        <v>0</v>
      </c>
      <c r="F653" s="101"/>
      <c r="G653" s="101">
        <v>21</v>
      </c>
      <c r="H653" s="101" t="s">
        <v>122</v>
      </c>
      <c r="I653" s="101"/>
      <c r="J653" s="101" t="s">
        <v>123</v>
      </c>
      <c r="K653" s="101" t="b">
        <v>1</v>
      </c>
      <c r="L653" s="97">
        <v>2016</v>
      </c>
      <c r="M653" s="98">
        <v>17467560</v>
      </c>
      <c r="N653" s="102">
        <v>41026</v>
      </c>
      <c r="O653" s="102">
        <v>41045</v>
      </c>
    </row>
    <row r="654" spans="1:15">
      <c r="A654" s="99">
        <v>2012</v>
      </c>
      <c r="B654" s="100" t="s">
        <v>192</v>
      </c>
      <c r="C654" s="100" t="s">
        <v>193</v>
      </c>
      <c r="D654" s="101">
        <v>1062000</v>
      </c>
      <c r="E654" s="101">
        <v>0</v>
      </c>
      <c r="F654" s="101"/>
      <c r="G654" s="101">
        <v>37</v>
      </c>
      <c r="H654" s="101">
        <v>16</v>
      </c>
      <c r="I654" s="101"/>
      <c r="J654" s="101" t="s">
        <v>140</v>
      </c>
      <c r="K654" s="101" t="b">
        <v>1</v>
      </c>
      <c r="L654" s="97">
        <v>2019</v>
      </c>
      <c r="M654" s="98">
        <v>19400000</v>
      </c>
      <c r="N654" s="102">
        <v>41026</v>
      </c>
      <c r="O654" s="102">
        <v>41045</v>
      </c>
    </row>
    <row r="655" spans="1:15">
      <c r="A655" s="99">
        <v>2012</v>
      </c>
      <c r="B655" s="100" t="s">
        <v>192</v>
      </c>
      <c r="C655" s="100" t="s">
        <v>193</v>
      </c>
      <c r="D655" s="101">
        <v>1062000</v>
      </c>
      <c r="E655" s="101">
        <v>0</v>
      </c>
      <c r="F655" s="101"/>
      <c r="G655" s="101">
        <v>21</v>
      </c>
      <c r="H655" s="101" t="s">
        <v>122</v>
      </c>
      <c r="I655" s="101"/>
      <c r="J655" s="101" t="s">
        <v>123</v>
      </c>
      <c r="K655" s="101" t="b">
        <v>1</v>
      </c>
      <c r="L655" s="97">
        <v>2027</v>
      </c>
      <c r="M655" s="98">
        <v>3625279</v>
      </c>
      <c r="N655" s="102">
        <v>41026</v>
      </c>
      <c r="O655" s="102">
        <v>41045</v>
      </c>
    </row>
    <row r="656" spans="1:15">
      <c r="A656" s="99">
        <v>2012</v>
      </c>
      <c r="B656" s="100" t="s">
        <v>192</v>
      </c>
      <c r="C656" s="100" t="s">
        <v>193</v>
      </c>
      <c r="D656" s="101">
        <v>1062000</v>
      </c>
      <c r="E656" s="101">
        <v>0</v>
      </c>
      <c r="F656" s="101"/>
      <c r="G656" s="101">
        <v>50</v>
      </c>
      <c r="H656" s="101">
        <v>23</v>
      </c>
      <c r="I656" s="101" t="s">
        <v>197</v>
      </c>
      <c r="J656" s="101" t="s">
        <v>149</v>
      </c>
      <c r="K656" s="101" t="b">
        <v>1</v>
      </c>
      <c r="L656" s="97">
        <v>2026</v>
      </c>
      <c r="M656" s="98">
        <v>444339286</v>
      </c>
      <c r="N656" s="102">
        <v>41026</v>
      </c>
      <c r="O656" s="102">
        <v>41045</v>
      </c>
    </row>
    <row r="657" spans="1:15">
      <c r="A657" s="99">
        <v>2012</v>
      </c>
      <c r="B657" s="100" t="s">
        <v>192</v>
      </c>
      <c r="C657" s="100" t="s">
        <v>193</v>
      </c>
      <c r="D657" s="101">
        <v>1062000</v>
      </c>
      <c r="E657" s="101">
        <v>0</v>
      </c>
      <c r="F657" s="101"/>
      <c r="G657" s="101">
        <v>19</v>
      </c>
      <c r="H657" s="101">
        <v>6</v>
      </c>
      <c r="I657" s="101" t="s">
        <v>198</v>
      </c>
      <c r="J657" s="101" t="s">
        <v>121</v>
      </c>
      <c r="K657" s="101" t="b">
        <v>0</v>
      </c>
      <c r="L657" s="97">
        <v>2029</v>
      </c>
      <c r="M657" s="98">
        <v>29886397</v>
      </c>
      <c r="N657" s="102">
        <v>41026</v>
      </c>
      <c r="O657" s="102">
        <v>41045</v>
      </c>
    </row>
    <row r="658" spans="1:15">
      <c r="A658" s="99">
        <v>2012</v>
      </c>
      <c r="B658" s="100" t="s">
        <v>192</v>
      </c>
      <c r="C658" s="100" t="s">
        <v>193</v>
      </c>
      <c r="D658" s="101">
        <v>1062000</v>
      </c>
      <c r="E658" s="101">
        <v>0</v>
      </c>
      <c r="F658" s="101"/>
      <c r="G658" s="101">
        <v>4</v>
      </c>
      <c r="H658" s="101" t="s">
        <v>98</v>
      </c>
      <c r="I658" s="101"/>
      <c r="J658" s="101" t="s">
        <v>99</v>
      </c>
      <c r="K658" s="101" t="b">
        <v>1</v>
      </c>
      <c r="L658" s="97">
        <v>2018</v>
      </c>
      <c r="M658" s="98">
        <v>10000000</v>
      </c>
      <c r="N658" s="102">
        <v>41026</v>
      </c>
      <c r="O658" s="102">
        <v>41045</v>
      </c>
    </row>
    <row r="659" spans="1:15">
      <c r="A659" s="99">
        <v>2012</v>
      </c>
      <c r="B659" s="100" t="s">
        <v>192</v>
      </c>
      <c r="C659" s="100" t="s">
        <v>193</v>
      </c>
      <c r="D659" s="101">
        <v>1062000</v>
      </c>
      <c r="E659" s="101">
        <v>0</v>
      </c>
      <c r="F659" s="101"/>
      <c r="G659" s="101">
        <v>44</v>
      </c>
      <c r="H659" s="101">
        <v>20</v>
      </c>
      <c r="I659" s="101" t="s">
        <v>207</v>
      </c>
      <c r="J659" s="101" t="s">
        <v>145</v>
      </c>
      <c r="K659" s="101" t="b">
        <v>1</v>
      </c>
      <c r="L659" s="97">
        <v>2027</v>
      </c>
      <c r="M659" s="98">
        <v>6.1400000000000003E-2</v>
      </c>
      <c r="N659" s="102">
        <v>41026</v>
      </c>
      <c r="O659" s="102">
        <v>41045</v>
      </c>
    </row>
    <row r="660" spans="1:15">
      <c r="A660" s="99">
        <v>2012</v>
      </c>
      <c r="B660" s="100" t="s">
        <v>192</v>
      </c>
      <c r="C660" s="100" t="s">
        <v>193</v>
      </c>
      <c r="D660" s="101">
        <v>1062000</v>
      </c>
      <c r="E660" s="101">
        <v>0</v>
      </c>
      <c r="F660" s="101"/>
      <c r="G660" s="101">
        <v>19</v>
      </c>
      <c r="H660" s="101">
        <v>6</v>
      </c>
      <c r="I660" s="101" t="s">
        <v>198</v>
      </c>
      <c r="J660" s="101" t="s">
        <v>121</v>
      </c>
      <c r="K660" s="101" t="b">
        <v>0</v>
      </c>
      <c r="L660" s="97">
        <v>2027</v>
      </c>
      <c r="M660" s="98">
        <v>28199498</v>
      </c>
      <c r="N660" s="102">
        <v>41026</v>
      </c>
      <c r="O660" s="102">
        <v>41045</v>
      </c>
    </row>
    <row r="661" spans="1:15">
      <c r="A661" s="99">
        <v>2012</v>
      </c>
      <c r="B661" s="100" t="s">
        <v>192</v>
      </c>
      <c r="C661" s="100" t="s">
        <v>193</v>
      </c>
      <c r="D661" s="101">
        <v>1062000</v>
      </c>
      <c r="E661" s="101">
        <v>0</v>
      </c>
      <c r="F661" s="101"/>
      <c r="G661" s="101">
        <v>54</v>
      </c>
      <c r="H661" s="101">
        <v>27</v>
      </c>
      <c r="I661" s="101" t="s">
        <v>213</v>
      </c>
      <c r="J661" s="101" t="s">
        <v>46</v>
      </c>
      <c r="K661" s="101" t="b">
        <v>0</v>
      </c>
      <c r="L661" s="97">
        <v>2017</v>
      </c>
      <c r="M661" s="98">
        <v>334963040</v>
      </c>
      <c r="N661" s="102">
        <v>41026</v>
      </c>
      <c r="O661" s="102">
        <v>41045</v>
      </c>
    </row>
    <row r="662" spans="1:15">
      <c r="A662" s="99">
        <v>2012</v>
      </c>
      <c r="B662" s="100" t="s">
        <v>192</v>
      </c>
      <c r="C662" s="100" t="s">
        <v>193</v>
      </c>
      <c r="D662" s="101">
        <v>1062000</v>
      </c>
      <c r="E662" s="101">
        <v>0</v>
      </c>
      <c r="F662" s="101"/>
      <c r="G662" s="101">
        <v>44</v>
      </c>
      <c r="H662" s="101">
        <v>20</v>
      </c>
      <c r="I662" s="101" t="s">
        <v>207</v>
      </c>
      <c r="J662" s="101" t="s">
        <v>145</v>
      </c>
      <c r="K662" s="101" t="b">
        <v>1</v>
      </c>
      <c r="L662" s="97">
        <v>2024</v>
      </c>
      <c r="M662" s="98">
        <v>6.1400000000000003E-2</v>
      </c>
      <c r="N662" s="102">
        <v>41026</v>
      </c>
      <c r="O662" s="102">
        <v>41045</v>
      </c>
    </row>
    <row r="663" spans="1:15">
      <c r="A663" s="99">
        <v>2012</v>
      </c>
      <c r="B663" s="100" t="s">
        <v>192</v>
      </c>
      <c r="C663" s="100" t="s">
        <v>193</v>
      </c>
      <c r="D663" s="101">
        <v>1062000</v>
      </c>
      <c r="E663" s="101">
        <v>0</v>
      </c>
      <c r="F663" s="101"/>
      <c r="G663" s="101">
        <v>47</v>
      </c>
      <c r="H663" s="101" t="s">
        <v>147</v>
      </c>
      <c r="I663" s="101" t="s">
        <v>206</v>
      </c>
      <c r="J663" s="101" t="s">
        <v>76</v>
      </c>
      <c r="K663" s="101" t="b">
        <v>0</v>
      </c>
      <c r="L663" s="97">
        <v>2023</v>
      </c>
      <c r="M663" s="98">
        <v>257</v>
      </c>
      <c r="N663" s="102">
        <v>41026</v>
      </c>
      <c r="O663" s="102">
        <v>41045</v>
      </c>
    </row>
    <row r="664" spans="1:15">
      <c r="A664" s="99">
        <v>2012</v>
      </c>
      <c r="B664" s="100" t="s">
        <v>192</v>
      </c>
      <c r="C664" s="100" t="s">
        <v>193</v>
      </c>
      <c r="D664" s="101">
        <v>1062000</v>
      </c>
      <c r="E664" s="101">
        <v>0</v>
      </c>
      <c r="F664" s="101"/>
      <c r="G664" s="101">
        <v>57</v>
      </c>
      <c r="H664" s="101">
        <v>30</v>
      </c>
      <c r="I664" s="101" t="s">
        <v>209</v>
      </c>
      <c r="J664" s="101" t="s">
        <v>153</v>
      </c>
      <c r="K664" s="101" t="b">
        <v>0</v>
      </c>
      <c r="L664" s="97">
        <v>2022</v>
      </c>
      <c r="M664" s="98">
        <v>22649236</v>
      </c>
      <c r="N664" s="102">
        <v>41026</v>
      </c>
      <c r="O664" s="102">
        <v>41045</v>
      </c>
    </row>
    <row r="665" spans="1:15">
      <c r="A665" s="99">
        <v>2012</v>
      </c>
      <c r="B665" s="100" t="s">
        <v>192</v>
      </c>
      <c r="C665" s="100" t="s">
        <v>193</v>
      </c>
      <c r="D665" s="101">
        <v>1062000</v>
      </c>
      <c r="E665" s="101">
        <v>0</v>
      </c>
      <c r="F665" s="101"/>
      <c r="G665" s="101">
        <v>20</v>
      </c>
      <c r="H665" s="101">
        <v>7</v>
      </c>
      <c r="I665" s="101" t="s">
        <v>215</v>
      </c>
      <c r="J665" s="101" t="s">
        <v>12</v>
      </c>
      <c r="K665" s="101" t="b">
        <v>1</v>
      </c>
      <c r="L665" s="97">
        <v>2020</v>
      </c>
      <c r="M665" s="98">
        <v>24628960</v>
      </c>
      <c r="N665" s="102">
        <v>41026</v>
      </c>
      <c r="O665" s="102">
        <v>41045</v>
      </c>
    </row>
    <row r="666" spans="1:15">
      <c r="A666" s="99">
        <v>2012</v>
      </c>
      <c r="B666" s="100" t="s">
        <v>192</v>
      </c>
      <c r="C666" s="100" t="s">
        <v>193</v>
      </c>
      <c r="D666" s="101">
        <v>1062000</v>
      </c>
      <c r="E666" s="101">
        <v>0</v>
      </c>
      <c r="F666" s="101"/>
      <c r="G666" s="101">
        <v>15</v>
      </c>
      <c r="H666" s="101">
        <v>4</v>
      </c>
      <c r="I666" s="101"/>
      <c r="J666" s="101" t="s">
        <v>217</v>
      </c>
      <c r="K666" s="101" t="b">
        <v>0</v>
      </c>
      <c r="L666" s="97">
        <v>2012</v>
      </c>
      <c r="M666" s="98">
        <v>25991557.719999999</v>
      </c>
      <c r="N666" s="102">
        <v>41026</v>
      </c>
      <c r="O666" s="102">
        <v>41045</v>
      </c>
    </row>
    <row r="667" spans="1:15">
      <c r="A667" s="99">
        <v>2012</v>
      </c>
      <c r="B667" s="100" t="s">
        <v>192</v>
      </c>
      <c r="C667" s="100" t="s">
        <v>193</v>
      </c>
      <c r="D667" s="101">
        <v>1062000</v>
      </c>
      <c r="E667" s="101">
        <v>0</v>
      </c>
      <c r="F667" s="101"/>
      <c r="G667" s="101">
        <v>50</v>
      </c>
      <c r="H667" s="101">
        <v>23</v>
      </c>
      <c r="I667" s="101" t="s">
        <v>197</v>
      </c>
      <c r="J667" s="101" t="s">
        <v>149</v>
      </c>
      <c r="K667" s="101" t="b">
        <v>1</v>
      </c>
      <c r="L667" s="97">
        <v>2018</v>
      </c>
      <c r="M667" s="98">
        <v>350765535</v>
      </c>
      <c r="N667" s="102">
        <v>41026</v>
      </c>
      <c r="O667" s="102">
        <v>41045</v>
      </c>
    </row>
    <row r="668" spans="1:15">
      <c r="A668" s="99">
        <v>2012</v>
      </c>
      <c r="B668" s="100" t="s">
        <v>192</v>
      </c>
      <c r="C668" s="100" t="s">
        <v>193</v>
      </c>
      <c r="D668" s="101">
        <v>1062000</v>
      </c>
      <c r="E668" s="101">
        <v>0</v>
      </c>
      <c r="F668" s="101"/>
      <c r="G668" s="101">
        <v>57</v>
      </c>
      <c r="H668" s="101">
        <v>30</v>
      </c>
      <c r="I668" s="101" t="s">
        <v>209</v>
      </c>
      <c r="J668" s="101" t="s">
        <v>153</v>
      </c>
      <c r="K668" s="101" t="b">
        <v>0</v>
      </c>
      <c r="L668" s="97">
        <v>2024</v>
      </c>
      <c r="M668" s="98">
        <v>3625279</v>
      </c>
      <c r="N668" s="102">
        <v>41026</v>
      </c>
      <c r="O668" s="102">
        <v>41045</v>
      </c>
    </row>
    <row r="669" spans="1:15">
      <c r="A669" s="99">
        <v>2012</v>
      </c>
      <c r="B669" s="100" t="s">
        <v>192</v>
      </c>
      <c r="C669" s="100" t="s">
        <v>193</v>
      </c>
      <c r="D669" s="101">
        <v>1062000</v>
      </c>
      <c r="E669" s="101">
        <v>0</v>
      </c>
      <c r="F669" s="101"/>
      <c r="G669" s="101">
        <v>43</v>
      </c>
      <c r="H669" s="101" t="s">
        <v>144</v>
      </c>
      <c r="I669" s="101" t="s">
        <v>201</v>
      </c>
      <c r="J669" s="101" t="s">
        <v>74</v>
      </c>
      <c r="K669" s="101" t="b">
        <v>0</v>
      </c>
      <c r="L669" s="97">
        <v>2018</v>
      </c>
      <c r="M669" s="98">
        <v>6.3E-2</v>
      </c>
      <c r="N669" s="102">
        <v>41026</v>
      </c>
      <c r="O669" s="102">
        <v>41045</v>
      </c>
    </row>
    <row r="670" spans="1:15">
      <c r="A670" s="99">
        <v>2012</v>
      </c>
      <c r="B670" s="100" t="s">
        <v>192</v>
      </c>
      <c r="C670" s="100" t="s">
        <v>193</v>
      </c>
      <c r="D670" s="101">
        <v>1062000</v>
      </c>
      <c r="E670" s="101">
        <v>0</v>
      </c>
      <c r="F670" s="101"/>
      <c r="G670" s="101">
        <v>47</v>
      </c>
      <c r="H670" s="101" t="s">
        <v>147</v>
      </c>
      <c r="I670" s="101" t="s">
        <v>206</v>
      </c>
      <c r="J670" s="101" t="s">
        <v>76</v>
      </c>
      <c r="K670" s="101" t="b">
        <v>0</v>
      </c>
      <c r="L670" s="97">
        <v>2028</v>
      </c>
      <c r="M670" s="98">
        <v>536</v>
      </c>
      <c r="N670" s="102">
        <v>41026</v>
      </c>
      <c r="O670" s="102">
        <v>41045</v>
      </c>
    </row>
    <row r="671" spans="1:15">
      <c r="A671" s="99">
        <v>2012</v>
      </c>
      <c r="B671" s="100" t="s">
        <v>192</v>
      </c>
      <c r="C671" s="100" t="s">
        <v>193</v>
      </c>
      <c r="D671" s="101">
        <v>1062000</v>
      </c>
      <c r="E671" s="101">
        <v>0</v>
      </c>
      <c r="F671" s="101"/>
      <c r="G671" s="101">
        <v>53</v>
      </c>
      <c r="H671" s="101">
        <v>26</v>
      </c>
      <c r="I671" s="101" t="s">
        <v>210</v>
      </c>
      <c r="J671" s="101" t="s">
        <v>151</v>
      </c>
      <c r="K671" s="101" t="b">
        <v>1</v>
      </c>
      <c r="L671" s="97">
        <v>2012</v>
      </c>
      <c r="M671" s="98">
        <v>404385559.97000003</v>
      </c>
      <c r="N671" s="102">
        <v>41026</v>
      </c>
      <c r="O671" s="102">
        <v>41045</v>
      </c>
    </row>
    <row r="672" spans="1:15">
      <c r="A672" s="99">
        <v>2012</v>
      </c>
      <c r="B672" s="100" t="s">
        <v>192</v>
      </c>
      <c r="C672" s="100" t="s">
        <v>193</v>
      </c>
      <c r="D672" s="101">
        <v>1062000</v>
      </c>
      <c r="E672" s="101">
        <v>0</v>
      </c>
      <c r="F672" s="101"/>
      <c r="G672" s="101">
        <v>54</v>
      </c>
      <c r="H672" s="101">
        <v>27</v>
      </c>
      <c r="I672" s="101" t="s">
        <v>213</v>
      </c>
      <c r="J672" s="101" t="s">
        <v>46</v>
      </c>
      <c r="K672" s="101" t="b">
        <v>0</v>
      </c>
      <c r="L672" s="97">
        <v>2028</v>
      </c>
      <c r="M672" s="98">
        <v>468274269</v>
      </c>
      <c r="N672" s="102">
        <v>41026</v>
      </c>
      <c r="O672" s="102">
        <v>41045</v>
      </c>
    </row>
    <row r="673" spans="1:15">
      <c r="A673" s="99">
        <v>2012</v>
      </c>
      <c r="B673" s="100" t="s">
        <v>192</v>
      </c>
      <c r="C673" s="100" t="s">
        <v>193</v>
      </c>
      <c r="D673" s="101">
        <v>1062000</v>
      </c>
      <c r="E673" s="101">
        <v>0</v>
      </c>
      <c r="F673" s="101"/>
      <c r="G673" s="101">
        <v>27</v>
      </c>
      <c r="H673" s="101">
        <v>10</v>
      </c>
      <c r="I673" s="101"/>
      <c r="J673" s="101" t="s">
        <v>18</v>
      </c>
      <c r="K673" s="101" t="b">
        <v>0</v>
      </c>
      <c r="L673" s="97">
        <v>2015</v>
      </c>
      <c r="M673" s="98">
        <v>9762360</v>
      </c>
      <c r="N673" s="102">
        <v>41026</v>
      </c>
      <c r="O673" s="102">
        <v>41045</v>
      </c>
    </row>
    <row r="674" spans="1:15">
      <c r="A674" s="99">
        <v>2012</v>
      </c>
      <c r="B674" s="100" t="s">
        <v>192</v>
      </c>
      <c r="C674" s="100" t="s">
        <v>193</v>
      </c>
      <c r="D674" s="101">
        <v>1062000</v>
      </c>
      <c r="E674" s="101">
        <v>0</v>
      </c>
      <c r="F674" s="101"/>
      <c r="G674" s="101">
        <v>26</v>
      </c>
      <c r="H674" s="101">
        <v>9</v>
      </c>
      <c r="I674" s="101" t="s">
        <v>204</v>
      </c>
      <c r="J674" s="101" t="s">
        <v>131</v>
      </c>
      <c r="K674" s="101" t="b">
        <v>0</v>
      </c>
      <c r="L674" s="97">
        <v>2017</v>
      </c>
      <c r="M674" s="98">
        <v>6596820</v>
      </c>
      <c r="N674" s="102">
        <v>41026</v>
      </c>
      <c r="O674" s="102">
        <v>41045</v>
      </c>
    </row>
    <row r="675" spans="1:15">
      <c r="A675" s="99">
        <v>2012</v>
      </c>
      <c r="B675" s="100" t="s">
        <v>192</v>
      </c>
      <c r="C675" s="100" t="s">
        <v>193</v>
      </c>
      <c r="D675" s="101">
        <v>1062000</v>
      </c>
      <c r="E675" s="101">
        <v>0</v>
      </c>
      <c r="F675" s="101"/>
      <c r="G675" s="101">
        <v>7</v>
      </c>
      <c r="H675" s="101">
        <v>2</v>
      </c>
      <c r="I675" s="101"/>
      <c r="J675" s="101" t="s">
        <v>3</v>
      </c>
      <c r="K675" s="101" t="b">
        <v>1</v>
      </c>
      <c r="L675" s="97">
        <v>2018</v>
      </c>
      <c r="M675" s="98">
        <v>329536177</v>
      </c>
      <c r="N675" s="102">
        <v>41026</v>
      </c>
      <c r="O675" s="102">
        <v>41045</v>
      </c>
    </row>
    <row r="676" spans="1:15">
      <c r="A676" s="99">
        <v>2012</v>
      </c>
      <c r="B676" s="100" t="s">
        <v>192</v>
      </c>
      <c r="C676" s="100" t="s">
        <v>193</v>
      </c>
      <c r="D676" s="101">
        <v>1062000</v>
      </c>
      <c r="E676" s="101">
        <v>0</v>
      </c>
      <c r="F676" s="101"/>
      <c r="G676" s="101">
        <v>43</v>
      </c>
      <c r="H676" s="101" t="s">
        <v>144</v>
      </c>
      <c r="I676" s="101" t="s">
        <v>201</v>
      </c>
      <c r="J676" s="101" t="s">
        <v>74</v>
      </c>
      <c r="K676" s="101" t="b">
        <v>0</v>
      </c>
      <c r="L676" s="97">
        <v>2021</v>
      </c>
      <c r="M676" s="98">
        <v>6.4699999999999994E-2</v>
      </c>
      <c r="N676" s="102">
        <v>41026</v>
      </c>
      <c r="O676" s="102">
        <v>41045</v>
      </c>
    </row>
    <row r="677" spans="1:15">
      <c r="A677" s="99">
        <v>2012</v>
      </c>
      <c r="B677" s="100" t="s">
        <v>192</v>
      </c>
      <c r="C677" s="100" t="s">
        <v>193</v>
      </c>
      <c r="D677" s="101">
        <v>1062000</v>
      </c>
      <c r="E677" s="101">
        <v>0</v>
      </c>
      <c r="F677" s="101"/>
      <c r="G677" s="101">
        <v>50</v>
      </c>
      <c r="H677" s="101">
        <v>23</v>
      </c>
      <c r="I677" s="101" t="s">
        <v>197</v>
      </c>
      <c r="J677" s="101" t="s">
        <v>149</v>
      </c>
      <c r="K677" s="101" t="b">
        <v>1</v>
      </c>
      <c r="L677" s="97">
        <v>2016</v>
      </c>
      <c r="M677" s="98">
        <v>330630158</v>
      </c>
      <c r="N677" s="102">
        <v>41026</v>
      </c>
      <c r="O677" s="102">
        <v>41045</v>
      </c>
    </row>
    <row r="678" spans="1:15">
      <c r="A678" s="99">
        <v>2012</v>
      </c>
      <c r="B678" s="100" t="s">
        <v>192</v>
      </c>
      <c r="C678" s="100" t="s">
        <v>193</v>
      </c>
      <c r="D678" s="101">
        <v>1062000</v>
      </c>
      <c r="E678" s="101">
        <v>0</v>
      </c>
      <c r="F678" s="101"/>
      <c r="G678" s="101">
        <v>8</v>
      </c>
      <c r="H678" s="101" t="s">
        <v>104</v>
      </c>
      <c r="I678" s="101"/>
      <c r="J678" s="101" t="s">
        <v>105</v>
      </c>
      <c r="K678" s="101" t="b">
        <v>0</v>
      </c>
      <c r="L678" s="97">
        <v>2020</v>
      </c>
      <c r="M678" s="98">
        <v>155454161</v>
      </c>
      <c r="N678" s="102">
        <v>41026</v>
      </c>
      <c r="O678" s="102">
        <v>41045</v>
      </c>
    </row>
    <row r="679" spans="1:15">
      <c r="A679" s="99">
        <v>2012</v>
      </c>
      <c r="B679" s="100" t="s">
        <v>192</v>
      </c>
      <c r="C679" s="100" t="s">
        <v>193</v>
      </c>
      <c r="D679" s="101">
        <v>1062000</v>
      </c>
      <c r="E679" s="101">
        <v>0</v>
      </c>
      <c r="F679" s="101"/>
      <c r="G679" s="101">
        <v>57</v>
      </c>
      <c r="H679" s="101">
        <v>30</v>
      </c>
      <c r="I679" s="101" t="s">
        <v>209</v>
      </c>
      <c r="J679" s="101" t="s">
        <v>153</v>
      </c>
      <c r="K679" s="101" t="b">
        <v>0</v>
      </c>
      <c r="L679" s="97">
        <v>2016</v>
      </c>
      <c r="M679" s="98">
        <v>17467560</v>
      </c>
      <c r="N679" s="102">
        <v>41026</v>
      </c>
      <c r="O679" s="102">
        <v>41045</v>
      </c>
    </row>
    <row r="680" spans="1:15">
      <c r="A680" s="99">
        <v>2012</v>
      </c>
      <c r="B680" s="100" t="s">
        <v>192</v>
      </c>
      <c r="C680" s="100" t="s">
        <v>193</v>
      </c>
      <c r="D680" s="101">
        <v>1062000</v>
      </c>
      <c r="E680" s="101">
        <v>0</v>
      </c>
      <c r="F680" s="101"/>
      <c r="G680" s="101">
        <v>44</v>
      </c>
      <c r="H680" s="101">
        <v>20</v>
      </c>
      <c r="I680" s="101" t="s">
        <v>207</v>
      </c>
      <c r="J680" s="101" t="s">
        <v>145</v>
      </c>
      <c r="K680" s="101" t="b">
        <v>1</v>
      </c>
      <c r="L680" s="97">
        <v>2020</v>
      </c>
      <c r="M680" s="98">
        <v>6.5000000000000002E-2</v>
      </c>
      <c r="N680" s="102">
        <v>41026</v>
      </c>
      <c r="O680" s="102">
        <v>41045</v>
      </c>
    </row>
    <row r="681" spans="1:15">
      <c r="A681" s="99">
        <v>2012</v>
      </c>
      <c r="B681" s="100" t="s">
        <v>192</v>
      </c>
      <c r="C681" s="100" t="s">
        <v>193</v>
      </c>
      <c r="D681" s="101">
        <v>1062000</v>
      </c>
      <c r="E681" s="101">
        <v>0</v>
      </c>
      <c r="F681" s="101"/>
      <c r="G681" s="101">
        <v>2</v>
      </c>
      <c r="H681" s="101" t="s">
        <v>94</v>
      </c>
      <c r="I681" s="101"/>
      <c r="J681" s="101" t="s">
        <v>95</v>
      </c>
      <c r="K681" s="101" t="b">
        <v>1</v>
      </c>
      <c r="L681" s="97">
        <v>2021</v>
      </c>
      <c r="M681" s="98">
        <v>383290971</v>
      </c>
      <c r="N681" s="102">
        <v>41026</v>
      </c>
      <c r="O681" s="102">
        <v>41045</v>
      </c>
    </row>
    <row r="682" spans="1:15">
      <c r="A682" s="99">
        <v>2012</v>
      </c>
      <c r="B682" s="100" t="s">
        <v>192</v>
      </c>
      <c r="C682" s="100" t="s">
        <v>193</v>
      </c>
      <c r="D682" s="101">
        <v>1062000</v>
      </c>
      <c r="E682" s="101">
        <v>0</v>
      </c>
      <c r="F682" s="101"/>
      <c r="G682" s="101">
        <v>2</v>
      </c>
      <c r="H682" s="101" t="s">
        <v>94</v>
      </c>
      <c r="I682" s="101"/>
      <c r="J682" s="101" t="s">
        <v>95</v>
      </c>
      <c r="K682" s="101" t="b">
        <v>1</v>
      </c>
      <c r="L682" s="97">
        <v>2028</v>
      </c>
      <c r="M682" s="98">
        <v>471399548</v>
      </c>
      <c r="N682" s="102">
        <v>41026</v>
      </c>
      <c r="O682" s="102">
        <v>41045</v>
      </c>
    </row>
  </sheetData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Zal_1_WPF_uklad_budzetu</vt:lpstr>
      <vt:lpstr>Zal_1_WPF_wg_przeplywow</vt:lpstr>
      <vt:lpstr>definicja</vt:lpstr>
      <vt:lpstr>DaneZrodlowe</vt:lpstr>
      <vt:lpstr>Zal_1_WPF_uklad_budzetu!Obszar_wydruku</vt:lpstr>
      <vt:lpstr>Zal_1_WPF_wg_przeplywow!Obszar_wydruku</vt:lpstr>
      <vt:lpstr>Zal_1_WPF_uklad_budzetu!Tytuły_wydruku</vt:lpstr>
      <vt:lpstr>Zal_1_WPF_wg_przeplywow!Tytuły_wydruku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Klupczyński</dc:creator>
  <cp:lastModifiedBy>UM w Piotrkowie Tryb.</cp:lastModifiedBy>
  <cp:lastPrinted>2012-04-30T10:38:30Z</cp:lastPrinted>
  <dcterms:created xsi:type="dcterms:W3CDTF">2010-09-17T02:30:46Z</dcterms:created>
  <dcterms:modified xsi:type="dcterms:W3CDTF">2012-05-07T10:04:41Z</dcterms:modified>
</cp:coreProperties>
</file>