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autopoprawka" sheetId="1" r:id="rId1"/>
    <sheet name="projekt-2012" sheetId="2" r:id="rId2"/>
  </sheets>
  <definedNames>
    <definedName name="_xlnm.Print_Titles" localSheetId="0">'autopoprawka'!$7:$9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A5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7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7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7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7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C7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8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comments2.xml><?xml version="1.0" encoding="utf-8"?>
<comments xmlns="http://schemas.openxmlformats.org/spreadsheetml/2006/main">
  <authors>
    <author>Adam Głębski</author>
    <author>AJG</author>
  </authors>
  <commentList>
    <comment ref="A5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7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7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7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7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C7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8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<sst xmlns="http://schemas.openxmlformats.org/spreadsheetml/2006/main" count="375" uniqueCount="131">
  <si>
    <t>x</t>
  </si>
  <si>
    <t>Lp</t>
  </si>
  <si>
    <t>jednostka odpowiedzialna</t>
  </si>
  <si>
    <t>łączne nakłady finansowe</t>
  </si>
  <si>
    <t>wydatki poniesione w latach poprzednich</t>
  </si>
  <si>
    <t>limity wydatków w poszczególnych latach (wszystkie lata)</t>
  </si>
  <si>
    <t>Limit zobowiązań</t>
  </si>
  <si>
    <t>dział</t>
  </si>
  <si>
    <t>Rozdz.</t>
  </si>
  <si>
    <t>Umowa 1 ogółem</t>
  </si>
  <si>
    <t>Umowa 2 ogółem</t>
  </si>
  <si>
    <t>Urząd Miasta</t>
  </si>
  <si>
    <t xml:space="preserve">Miejski Ośrodek Pomocy Rodzinie </t>
  </si>
  <si>
    <t xml:space="preserve">Miejski Zarząd Dróg i Komunikacji </t>
  </si>
  <si>
    <t>Gimnazjum Nr 5</t>
  </si>
  <si>
    <t>Miejski Żłobek Dzienny</t>
  </si>
  <si>
    <t>Pracownia Planowania Przestrzennego</t>
  </si>
  <si>
    <t xml:space="preserve">Dom Pomocy Społecznej </t>
  </si>
  <si>
    <t>Komenda Miejska Państwowej Straży Pożarnej</t>
  </si>
  <si>
    <t>Zespoł Szkół Ponadgimnazjalnych Nr 2</t>
  </si>
  <si>
    <t>Zespoł Szkół Ponadgimnazjalnych Nr 4</t>
  </si>
  <si>
    <t>Zespoł Szkół Ponadgimnazjalnych Nr 5</t>
  </si>
  <si>
    <t>Środowiskowa Świetlica Socjoterapeutyczna "Bartek"</t>
  </si>
  <si>
    <t xml:space="preserve">Specjalny Ośrodek Szkolno-Wychowawczy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</si>
  <si>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</si>
  <si>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</si>
  <si>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</si>
  <si>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</si>
  <si>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</si>
  <si>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</si>
  <si>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</si>
  <si>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</si>
  <si>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</si>
  <si>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</si>
  <si>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</si>
  <si>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</si>
  <si>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</si>
  <si>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</si>
  <si>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</si>
  <si>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</si>
  <si>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</si>
  <si>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</si>
  <si>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</si>
  <si>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</si>
  <si>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</si>
  <si>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</si>
  <si>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</si>
  <si>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</si>
  <si>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</si>
  <si>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</si>
  <si>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</si>
  <si>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</si>
  <si>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</si>
  <si>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</si>
  <si>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Klasyfikacja budżetowa</t>
  </si>
  <si>
    <t>NAZWA  I  CEL</t>
  </si>
  <si>
    <t>I.</t>
  </si>
  <si>
    <t>programy, projekty lub zadania (razem)</t>
  </si>
  <si>
    <t xml:space="preserve"> wydatki bieżące</t>
  </si>
  <si>
    <t xml:space="preserve"> wydatki majątkowe</t>
  </si>
  <si>
    <t>programy, projekty lub zadania związane z programami realizowanymi z udziałem środków, o których mowa w art. 5 ust. 1 pkt 2 i 3, (razem)</t>
  </si>
  <si>
    <t xml:space="preserve"> wydatki bieżące </t>
  </si>
  <si>
    <t xml:space="preserve">wydatki majątkowe </t>
  </si>
  <si>
    <t>programy, projekty lub zadania związane z umowami partnerstwa publiczno-prywatnego; (razem)</t>
  </si>
  <si>
    <t>wydatki bieżące</t>
  </si>
  <si>
    <t>wydatki majątkowe</t>
  </si>
  <si>
    <t>programy, projekty lub zadania pozostałe (inne niż wymienione w lit.a i b) (razem)</t>
  </si>
  <si>
    <t>P R Z E D S I Ę W Z I Ę C I A      O G Ó Ł E M</t>
  </si>
  <si>
    <t>II.</t>
  </si>
  <si>
    <t>umowy, których realizacja w roku budżetowym i w latach następnych jest niezbędna dla zapewnienia ciągłości działania jednostki i których płatności przypadają w okresie dłuższym niż rok; (razem)</t>
  </si>
  <si>
    <t>III.</t>
  </si>
  <si>
    <t>gwarancje i poręczenia udzielane przez jednostki samorządu terytorialnego (razem)</t>
  </si>
  <si>
    <t>OD</t>
  </si>
  <si>
    <t>DO</t>
  </si>
  <si>
    <t xml:space="preserve">okres realizacji 
</t>
  </si>
  <si>
    <t>A</t>
  </si>
  <si>
    <t>B.</t>
  </si>
  <si>
    <t xml:space="preserve">Nazwa przedsięwzięcia:                                                           Usługa ochronna w formie monitorowania obiektów Urzędu Miasta w systemie dyskretnego ostrzegania                                                                 Cel: zapewnienie bezpieczeństwa osób i mienia </t>
  </si>
  <si>
    <t>C.</t>
  </si>
  <si>
    <t>Nazwa przedsięwzięcia: Usługa dostępu sieci Internet                                                                                                       Cel: zapewnienie dostępu do sieci</t>
  </si>
  <si>
    <t>Nazwa przedsięwzięcia: Konserwacja podnośnika dla niepełnosprawnych                                                                                                       Cel: bezpieczeństwo osób niepełnosprawnych</t>
  </si>
  <si>
    <t>Rady Miasta Piotrkowa Tryb.</t>
  </si>
  <si>
    <t>Załącznik Nr 2</t>
  </si>
  <si>
    <t>Nazwa przedsięwzięcia: Rekultywacja składowiska odpadów w Dołach Brzeskich                                                                             Cel: osiągnięcie europejskich standardów stanu środowiska</t>
  </si>
  <si>
    <t>Nazwa przedsięwzięcia: Budowa ul.Żeglarskiej na odcinku od ul. Koralowej do dz. Nr 24/2 wraz z infrastrukturą techniczną                                                                             Cel: realizacja miejscowych planów zagospodarowania przestrzennego</t>
  </si>
  <si>
    <t>Nazwa przedsięwzięcia: Budowa suszarni osadów ściekowych w zmodernizowanej oczyszczalni ścieków w PT - dokumentacja                                                                         Cel: rozwiązanie problemu zagospodarowania osadów wytwarzanych w procesie oczyszczania ścieków</t>
  </si>
  <si>
    <t>Nazwa przedsięwzięcia: Poprawa bezpieczeństwa ruchu drogowego w ciągu drogi krajowej nr 91 w Piotrkowie Tryb. poprzez: a/ budowę ronda u zbiegi ulic: Wolborska, Rzemieślnicza, Wierzejska, Wyzwolenia b/ rozbudowa skrzyzowania ulic: Krakowskie Przedmieście, Żeromskiego, Przedborska, Śląska                                                                                                                        Cel: rozbudowa i modernizacja układu komunikacyjnego miasta</t>
  </si>
  <si>
    <t xml:space="preserve">Nazwa przedsięwzięcia:                                                           Znakowanie psów za pomocą elektronicznych mikroprocesorów tzw. chipów                                                                                                        Cel: zapobieganie bezdomności zwierząt i polepszenie stanu sanitarnego-epidemiologicznego miasta </t>
  </si>
  <si>
    <t>Nazwa przedsięwzięcia: Infrastruktura Regionalnego Systemu Infromacji Przestrzenej Województwa Łódzkiego                                                                                                                        Cel: infrastruktura społeczeństwa informatycznego</t>
  </si>
  <si>
    <t>Nazwa przedsięwzięcia: zakup usług sieci internet                                                       Cel: poprawa warunków kształczenia uczniów i pracy pracowników SOSW</t>
  </si>
  <si>
    <t xml:space="preserve">Nazwa przedsięwzięcia: usługa dostępu do internetu DSL                                                             Cel: zapewnienie ciąglości działania jednostki </t>
  </si>
  <si>
    <t xml:space="preserve">Nazwa przedsięwzięcia: dzierżawa butli Shell Gas                                                              Cel: zapewnienie ciąglości działania jednostki </t>
  </si>
  <si>
    <t>Nazwa przedsięwzięcia: Konserwacja dźwigu hydrualicznego                                                              Cel: zapewnienie ciągłości i bezpiecznego korzystania z dźwigu</t>
  </si>
  <si>
    <t xml:space="preserve">Nazwa przedsięwzięcia: Zakup usług dostępu sieci internet                                               Cel: funkcjonowanie jednostki </t>
  </si>
  <si>
    <t xml:space="preserve">Nazwa przedsięwzięcia: Zakup usług telekomunikacyjnych                                                 Cel: usprawnienie komunikacji wewnętrznej i zewnętrznej jednostki </t>
  </si>
  <si>
    <t>Nazwa przedsięwzięcia: Monitorowanie i konserwacja systemu przeciwpożarowego w Domu Pomocy Społecznej                                                          Cel: zapewnienie ciąglości funkcjonowania Domu Pomocy Społecznej</t>
  </si>
  <si>
    <t>Nazwa przedsięwzięcia: dostawa usług sieci internet                                                          Cel: zapewnienie ciągłości działania jednostki</t>
  </si>
  <si>
    <t>Nazwa przedsięwzięcia: Odbiór przesyłek z siedziby Pracowni   Planowania Przestrzennego                                                          Cel: zapewnienie ciągłości działania jednostki</t>
  </si>
  <si>
    <t xml:space="preserve">Nazwa przedsięwzięcia: Zakup usług internetowych                                                               Cel: poprawa Infrastruktury Społeczno- Informatycznej </t>
  </si>
  <si>
    <t>Nazwa przedsięwzięcia: Rekompensata strat z tytułu prawnie stosowanych ulg                                                                                     Cel: zapewnienie komunikacji miejskiej na terenie miasta Piotrkowa Trybunalskiego</t>
  </si>
  <si>
    <t>Nazwa przedsięwzięcia: Program Comenius-Uczenie się przez całe życie                                                            Cel: cel edukacyjny- poznanie innych  kultur, nawiązywanie  przyjaźni między uczniami</t>
  </si>
  <si>
    <t>Nazwa przedsięwzięcia: Trakt Wielu Kultur - Rozwój potencjału turystycznego Miasta poprzez rewitalizację zabytkowych obszarów PT - etap II                                                                  Cel: ożywienie gospodarcze i społeczne zdegradowanych obszarów PT poprzez wykorzystanie potenchału turystycznego Miasta</t>
  </si>
  <si>
    <t>Nazwa przedsięwzięcia: Przebudowa ul. Narutowicza wraz z kanalizacją deszczową                                                                             Cel: realizacja miejscowych planów zagospodarowania przestrzennego</t>
  </si>
  <si>
    <t>Nazwa przedsięwzięcia:                                                           Prowadzenie noclegowni dla bezdomnych                                   Cel: zapewnienie miejsc noclegowych dla bezdomnych z terenu miasta Piotrkowa Trybunalskiego</t>
  </si>
  <si>
    <t>Nazwa przedsięwzięcia:                                                           Konserwacja urządzenia do przemieszczania osób niepełnosprawnych zainstalowanych w budynkach Urzędu Miasta                                                                             Cel: zapewnienie bezpieczeństwa osobom niepełnosprawnym</t>
  </si>
  <si>
    <t>Nazwa przedsięwzięcia:                                                           Ubezpieczenie mienia , odpowiedzialności cywilnej oraz ubezpieczeń komunikacyjnych Miasta Piotrkowa Trybunalskiego                                                                        Cel: zmniejszenie skuktów niekorzystnych zdarzeń</t>
  </si>
  <si>
    <t>Nazwa przedsięwzięcia: Zakup usług dostępu do internetu                                                                                                    Cel: zapewnienie dostępu do sieci internet, ciągłości działania urzędu w zakresie  połączeń VPN lokalizacji UM oraz innych usłgu dostępnych przez internet</t>
  </si>
  <si>
    <t>Nazwa przedsięwzięcia:                                                           Zakup usług dzierżawy łącz cyfrowych do transmisji danych                                                         Cel: zapewnienie ciągłości dzialania  urzędu w zakresie połączenia lokalizacji UM</t>
  </si>
  <si>
    <t>Nazwa przedsięwzięcia: Opłaty za umieszczenie w pasie drogowym urządzeń infrastruktury technicznej                                                                                                                 Cel: bezpieczeństwo na drogach</t>
  </si>
  <si>
    <t xml:space="preserve">Nazwa przedsięwzięcia: Opłaty roczne z tytułu użytkowania wieczystego gruntów  Skarbu Państwa znajdujących się pod wodami rzek Wierzejki i Strawy                                                                                                                Cel: prawidłowe gospodarowanie wodami skarbu państwa </t>
  </si>
  <si>
    <t xml:space="preserve">Nazwa przedsięwzięcia: Wynagrodzenie z tytułu funkcji inwestora zastępczego oraz za zarządzanie nieruchomościami objętymi umową o zarządzanie                                                                                                                Cel: realizacja zadań związanych z prowadzeniem remontów w zasobach gminy </t>
  </si>
  <si>
    <t>Nazwa przedsięwzięcia:                                                           Zapewnienie funkcjonowania UM w zakresie strzeżenia i sprzątania pomieszczeń biurowych i otoczenia budynków oraz obsługa prawna w UM                                                                                                         Cel: zapewnienie funkcjonowania UM</t>
  </si>
  <si>
    <t>Nazwa przedsięwzięcia: Zobowiązania wynikające z prowadzonych wcześniej inwestycji na terenie miasta                                                                            Cel: zobowiązania z tytułu opłat za umieszczenie infrastruktury technicznej w pasach drogowych</t>
  </si>
  <si>
    <t>Nazwa przedsięwzięcia: Modernizacja i rozbudowa oczyszczalni ścieków w Piotrkowie Trybunalskim                                                                             Cel: Uporządkowanie gospodarki wodno-ściekowej w mieście oraz wypełnienie zobowiązań Krajowego Programu Oczyszczania Ścieków</t>
  </si>
  <si>
    <t xml:space="preserve"> Środowiskowa Świetlica Socjoteraputyczna "Bartek"</t>
  </si>
  <si>
    <t>Nazwa przedsięwzięcia: zakup dostępu do internetu dla Domu Pomocy Społecznej                                                          Cel: zapewnienie dostępu do internetu</t>
  </si>
  <si>
    <t>Nazwa przedsięwzięcia: usługa dostępu do Internetu - Neostrada                                                             Cel: poprawa oraz rozszerzenie świadczonych usług dostępu do internetu dla dzieci i młodzieży uczęszczających do swietlicy (ul. Wrzosowa)</t>
  </si>
  <si>
    <t>Nazwa przedsięwzięcia: Rozbudowa wodociągu w ul. Pawłowskiej                                                       Cel: Realizacja miejscowych planów zagospodarowania przestrzennego</t>
  </si>
  <si>
    <t>Nazwa przedsięwzięcia: Montaż instalacji kolektorów słonecznych na budynku Domu Pomocy Społecznej                                  Cel: Zastosowanie instalacji kolektorów słonecznych na potrzeby podgrzewu wody użytkowej  w Domu Pomocy Społecznej przy  ul. Żwirki</t>
  </si>
  <si>
    <t>Nazwa przedsięwzięcia: Montaż instalacji kolektorów słonecznych na budynku Pogotowia Opiekuńczego                               Cel: Zastosowanie instalacji kolektorów słonecznych na potrzeby podgrzewu wody użytkowej  w Pogotowiu Opiekuńczym przy ul. Wojska Polskiego</t>
  </si>
  <si>
    <t>do Uchwały Nr</t>
  </si>
  <si>
    <t xml:space="preserve">z dnia  </t>
  </si>
  <si>
    <t>Nazwa przedsięwzięcia: Montaż instalacji kolektorów słonecznych na budynkach Krytych Pływalni              Cel: Zastosowanie instalacji kolektorów słonecznych na potrzeby podgrzewu wody basenowej</t>
  </si>
  <si>
    <t>Nazwa przedsięwzięcia: Zobowiązania wynikające z prowadzonych wcześniej inwestycji na terenie miasta                                                                            Cel: realizacja postanowień zawartych w umowach o dofinansowanie zadań środkami UE</t>
  </si>
  <si>
    <t xml:space="preserve">W Y K A Z    P R Z E D S I Ę W Z I Ę Ć </t>
  </si>
  <si>
    <t xml:space="preserve">Nazwa przedsięwzięcia:                                                           Usługa publikacji w Internecie (hosting) odrębnej strony www umożliwiającej udostępnienie infromacji publicznej                                                                                                        Cel: zapewnienie ciągłości  działania BIP dostępnego pod adresem www.bip.piotrkow.pl </t>
  </si>
  <si>
    <t>31.</t>
  </si>
  <si>
    <t>Nazwa przedsięwzięcia: Regulacja rzeki Strawy - dokumentacja techniczna                               Cel: realizacja miejscowych planów zagospodarowania przestrzennego</t>
  </si>
  <si>
    <t>Nazwa przedsięwzięcia: wykonanie aktualizacji operatu wodnoprawnego i instrukcji gospodarowania zbiornika Bugaj                                                       Cel: prawidłowe gospodarowanie wodami</t>
  </si>
  <si>
    <t>do Uchwały Nr XV/308/11</t>
  </si>
  <si>
    <t>z dnia   21.12.2011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</si>
</sst>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2"/>
      <color indexed="8"/>
      <name val="Czcionka tekstu podstawowego"/>
      <family val="0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18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7" fillId="34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25" fillId="0" borderId="10" xfId="0" applyNumberFormat="1" applyFont="1" applyFill="1" applyBorder="1" applyAlignment="1">
      <alignment/>
    </xf>
    <xf numFmtId="0" fontId="7" fillId="16" borderId="0" xfId="0" applyFont="1" applyFill="1" applyAlignment="1">
      <alignment/>
    </xf>
    <xf numFmtId="0" fontId="7" fillId="15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4" fontId="25" fillId="33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91"/>
  <sheetViews>
    <sheetView tabSelected="1" zoomScalePageLayoutView="0" workbookViewId="0" topLeftCell="O1">
      <pane ySplit="9" topLeftCell="A10" activePane="bottomLeft" state="frozen"/>
      <selection pane="topLeft" activeCell="A1" sqref="A1"/>
      <selection pane="bottomLeft" activeCell="A5" sqref="A5:AC5"/>
    </sheetView>
  </sheetViews>
  <sheetFormatPr defaultColWidth="8.796875" defaultRowHeight="14.25" outlineLevelRow="2"/>
  <cols>
    <col min="1" max="1" width="3.3984375" style="13" customWidth="1"/>
    <col min="2" max="2" width="29.59765625" style="29" customWidth="1"/>
    <col min="3" max="3" width="16.59765625" style="36" customWidth="1"/>
    <col min="4" max="5" width="5.09765625" style="29" customWidth="1"/>
    <col min="6" max="6" width="4.5" style="29" customWidth="1"/>
    <col min="7" max="7" width="6" style="29" customWidth="1"/>
    <col min="8" max="8" width="12.19921875" style="29" customWidth="1"/>
    <col min="9" max="9" width="11.5" style="29" customWidth="1"/>
    <col min="10" max="11" width="12.59765625" style="29" customWidth="1"/>
    <col min="12" max="12" width="11.59765625" style="29" customWidth="1"/>
    <col min="13" max="13" width="11" style="29" customWidth="1"/>
    <col min="14" max="14" width="9.3984375" style="29" customWidth="1"/>
    <col min="15" max="15" width="9.59765625" style="29" customWidth="1"/>
    <col min="16" max="16" width="8.09765625" style="29" customWidth="1"/>
    <col min="17" max="17" width="9.09765625" style="29" customWidth="1"/>
    <col min="18" max="18" width="8.09765625" style="29" customWidth="1"/>
    <col min="19" max="19" width="9.19921875" style="29" customWidth="1"/>
    <col min="20" max="20" width="8.09765625" style="29" customWidth="1"/>
    <col min="21" max="21" width="8.5" style="29" customWidth="1"/>
    <col min="22" max="22" width="8.59765625" style="29" customWidth="1"/>
    <col min="23" max="23" width="9" style="29" customWidth="1"/>
    <col min="24" max="24" width="8.3984375" style="29" customWidth="1"/>
    <col min="25" max="25" width="8.19921875" style="29" customWidth="1"/>
    <col min="26" max="26" width="8.09765625" style="29" customWidth="1"/>
    <col min="27" max="27" width="8.3984375" style="29" customWidth="1"/>
    <col min="28" max="28" width="6.09765625" style="29" customWidth="1"/>
    <col min="29" max="29" width="12.3984375" style="29" customWidth="1"/>
    <col min="30" max="16384" width="9" style="29" customWidth="1"/>
  </cols>
  <sheetData>
    <row r="1" spans="1:36" s="20" customFormat="1" ht="15" customHeight="1">
      <c r="A1" s="8"/>
      <c r="C1" s="19"/>
      <c r="J1" s="21"/>
      <c r="Y1" s="22" t="s">
        <v>82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6" s="20" customFormat="1" ht="14.25">
      <c r="A2" s="8"/>
      <c r="C2" s="19"/>
      <c r="Y2" s="22" t="s">
        <v>129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7" s="20" customFormat="1" ht="14.25">
      <c r="A3" s="8"/>
      <c r="C3" s="19"/>
      <c r="Y3" s="58" t="s">
        <v>81</v>
      </c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6" s="20" customFormat="1" ht="14.25">
      <c r="A4" s="8"/>
      <c r="C4" s="19"/>
      <c r="I4" s="64"/>
      <c r="J4" s="64"/>
      <c r="L4" s="23"/>
      <c r="Y4" s="22" t="s">
        <v>130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</row>
    <row r="5" spans="1:29" s="20" customFormat="1" ht="33" customHeight="1">
      <c r="A5" s="63" t="s">
        <v>124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3" s="20" customFormat="1" ht="12">
      <c r="A6" s="8"/>
      <c r="C6" s="19"/>
    </row>
    <row r="7" spans="1:29" s="20" customFormat="1" ht="93" customHeight="1">
      <c r="A7" s="65" t="s">
        <v>1</v>
      </c>
      <c r="B7" s="67" t="s">
        <v>55</v>
      </c>
      <c r="C7" s="69" t="s">
        <v>2</v>
      </c>
      <c r="D7" s="71" t="s">
        <v>74</v>
      </c>
      <c r="E7" s="72"/>
      <c r="F7" s="73" t="s">
        <v>54</v>
      </c>
      <c r="G7" s="74"/>
      <c r="H7" s="69" t="s">
        <v>3</v>
      </c>
      <c r="I7" s="75" t="s">
        <v>4</v>
      </c>
      <c r="J7" s="83" t="s">
        <v>5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5"/>
      <c r="AC7" s="65" t="s">
        <v>6</v>
      </c>
    </row>
    <row r="8" spans="1:29" s="20" customFormat="1" ht="18.75" customHeight="1">
      <c r="A8" s="66"/>
      <c r="B8" s="68"/>
      <c r="C8" s="70"/>
      <c r="D8" s="38" t="s">
        <v>72</v>
      </c>
      <c r="E8" s="38" t="s">
        <v>73</v>
      </c>
      <c r="F8" s="24" t="s">
        <v>7</v>
      </c>
      <c r="G8" s="24" t="s">
        <v>8</v>
      </c>
      <c r="H8" s="70"/>
      <c r="I8" s="76"/>
      <c r="J8" s="43">
        <v>2012</v>
      </c>
      <c r="K8" s="43">
        <v>2013</v>
      </c>
      <c r="L8" s="43">
        <v>2014</v>
      </c>
      <c r="M8" s="43">
        <v>2015</v>
      </c>
      <c r="N8" s="43">
        <v>2016</v>
      </c>
      <c r="O8" s="43">
        <v>2017</v>
      </c>
      <c r="P8" s="43">
        <v>2018</v>
      </c>
      <c r="Q8" s="43">
        <v>2019</v>
      </c>
      <c r="R8" s="43">
        <v>2020</v>
      </c>
      <c r="S8" s="43">
        <v>2021</v>
      </c>
      <c r="T8" s="43">
        <v>2022</v>
      </c>
      <c r="U8" s="43">
        <v>2023</v>
      </c>
      <c r="V8" s="43">
        <v>2024</v>
      </c>
      <c r="W8" s="43">
        <v>2025</v>
      </c>
      <c r="X8" s="43">
        <v>2026</v>
      </c>
      <c r="Y8" s="43">
        <v>2027</v>
      </c>
      <c r="Z8" s="43">
        <v>2028</v>
      </c>
      <c r="AA8" s="43">
        <v>2029</v>
      </c>
      <c r="AB8" s="43">
        <v>2030</v>
      </c>
      <c r="AC8" s="66"/>
    </row>
    <row r="9" spans="1:29" s="39" customFormat="1" ht="12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38">
        <v>22</v>
      </c>
      <c r="W9" s="38">
        <v>23</v>
      </c>
      <c r="X9" s="38">
        <v>24</v>
      </c>
      <c r="Y9" s="38">
        <v>25</v>
      </c>
      <c r="Z9" s="38">
        <v>26</v>
      </c>
      <c r="AA9" s="38">
        <v>27</v>
      </c>
      <c r="AB9" s="38">
        <v>28</v>
      </c>
      <c r="AC9" s="38">
        <v>29</v>
      </c>
    </row>
    <row r="10" spans="1:68" s="26" customFormat="1" ht="27.75" customHeight="1">
      <c r="A10" s="9"/>
      <c r="B10" s="77" t="s">
        <v>67</v>
      </c>
      <c r="C10" s="78"/>
      <c r="D10" s="78"/>
      <c r="E10" s="78"/>
      <c r="F10" s="78"/>
      <c r="G10" s="79"/>
      <c r="H10" s="25">
        <f>SUM(H11:H12)</f>
        <v>336247600.14000005</v>
      </c>
      <c r="I10" s="25">
        <f aca="true" t="shared" si="0" ref="I10:R10">SUM(I11:I12)</f>
        <v>51224948.620000005</v>
      </c>
      <c r="J10" s="25">
        <f>SUM(J11:J12)</f>
        <v>162676599.45</v>
      </c>
      <c r="K10" s="25">
        <f>SUM(K11:K12)</f>
        <v>107340856.52</v>
      </c>
      <c r="L10" s="25">
        <f t="shared" si="0"/>
        <v>12521389.569999998</v>
      </c>
      <c r="M10" s="25">
        <f t="shared" si="0"/>
        <v>1777917.3900000001</v>
      </c>
      <c r="N10" s="25">
        <f t="shared" si="0"/>
        <v>121149.93</v>
      </c>
      <c r="O10" s="25">
        <f t="shared" si="0"/>
        <v>100269.59</v>
      </c>
      <c r="P10" s="25">
        <f t="shared" si="0"/>
        <v>99913.59</v>
      </c>
      <c r="Q10" s="25">
        <f t="shared" si="0"/>
        <v>99860.59</v>
      </c>
      <c r="R10" s="25">
        <f t="shared" si="0"/>
        <v>28504.29</v>
      </c>
      <c r="S10" s="25">
        <f>SUM(S11:S12)</f>
        <v>28419.4</v>
      </c>
      <c r="T10" s="25">
        <f aca="true" t="shared" si="1" ref="T10:AC10">SUM(T11:T12)</f>
        <v>28419.4</v>
      </c>
      <c r="U10" s="25">
        <f t="shared" si="1"/>
        <v>28419.4</v>
      </c>
      <c r="V10" s="25">
        <f t="shared" si="1"/>
        <v>28419.4</v>
      </c>
      <c r="W10" s="25">
        <f t="shared" si="1"/>
        <v>28419.4</v>
      </c>
      <c r="X10" s="25">
        <f t="shared" si="1"/>
        <v>28419.4</v>
      </c>
      <c r="Y10" s="25">
        <f t="shared" si="1"/>
        <v>28419.4</v>
      </c>
      <c r="Z10" s="25">
        <f t="shared" si="1"/>
        <v>28419.4</v>
      </c>
      <c r="AA10" s="25">
        <f t="shared" si="1"/>
        <v>28419.4</v>
      </c>
      <c r="AB10" s="25">
        <f t="shared" si="1"/>
        <v>416</v>
      </c>
      <c r="AC10" s="25">
        <f t="shared" si="1"/>
        <v>256392255.63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</row>
    <row r="11" spans="1:68" s="27" customFormat="1" ht="21" customHeight="1">
      <c r="A11" s="10"/>
      <c r="B11" s="80" t="s">
        <v>58</v>
      </c>
      <c r="C11" s="81"/>
      <c r="D11" s="81"/>
      <c r="E11" s="81"/>
      <c r="F11" s="81"/>
      <c r="G11" s="82"/>
      <c r="H11" s="14">
        <f aca="true" t="shared" si="2" ref="H11:S11">H14+H42</f>
        <v>28712090.749999996</v>
      </c>
      <c r="I11" s="14">
        <f t="shared" si="2"/>
        <v>19464439.12</v>
      </c>
      <c r="J11" s="14">
        <f>J14+J42</f>
        <v>7680122.409999998</v>
      </c>
      <c r="K11" s="14">
        <f t="shared" si="2"/>
        <v>571584.7</v>
      </c>
      <c r="L11" s="14">
        <f t="shared" si="2"/>
        <v>304283.54</v>
      </c>
      <c r="M11" s="14">
        <f t="shared" si="2"/>
        <v>271132.39</v>
      </c>
      <c r="N11" s="14">
        <f t="shared" si="2"/>
        <v>49809.93</v>
      </c>
      <c r="O11" s="14">
        <f t="shared" si="2"/>
        <v>28929.59</v>
      </c>
      <c r="P11" s="14">
        <f t="shared" si="2"/>
        <v>28573.59</v>
      </c>
      <c r="Q11" s="14">
        <f t="shared" si="2"/>
        <v>28520.59</v>
      </c>
      <c r="R11" s="14">
        <f t="shared" si="2"/>
        <v>28504.29</v>
      </c>
      <c r="S11" s="14">
        <f t="shared" si="2"/>
        <v>28419.4</v>
      </c>
      <c r="T11" s="14">
        <f aca="true" t="shared" si="3" ref="T11:AB11">T14+T42</f>
        <v>28419.4</v>
      </c>
      <c r="U11" s="14">
        <f t="shared" si="3"/>
        <v>28419.4</v>
      </c>
      <c r="V11" s="14">
        <f t="shared" si="3"/>
        <v>28419.4</v>
      </c>
      <c r="W11" s="14">
        <f t="shared" si="3"/>
        <v>28419.4</v>
      </c>
      <c r="X11" s="14">
        <f t="shared" si="3"/>
        <v>28419.4</v>
      </c>
      <c r="Y11" s="14">
        <f t="shared" si="3"/>
        <v>28419.4</v>
      </c>
      <c r="Z11" s="14">
        <f t="shared" si="3"/>
        <v>28419.4</v>
      </c>
      <c r="AA11" s="14">
        <f t="shared" si="3"/>
        <v>28419.4</v>
      </c>
      <c r="AB11" s="14">
        <f t="shared" si="3"/>
        <v>416</v>
      </c>
      <c r="AC11" s="14">
        <f>AC14+AC42</f>
        <v>2187502.67</v>
      </c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</row>
    <row r="12" spans="1:68" s="27" customFormat="1" ht="21" customHeight="1">
      <c r="A12" s="10"/>
      <c r="B12" s="80" t="s">
        <v>59</v>
      </c>
      <c r="C12" s="81"/>
      <c r="D12" s="81"/>
      <c r="E12" s="81"/>
      <c r="F12" s="81"/>
      <c r="G12" s="82"/>
      <c r="H12" s="14">
        <f>H15</f>
        <v>307535509.39000005</v>
      </c>
      <c r="I12" s="14">
        <f aca="true" t="shared" si="4" ref="I12:S12">I15</f>
        <v>31760509.500000004</v>
      </c>
      <c r="J12" s="14">
        <f>J15</f>
        <v>154996477.04</v>
      </c>
      <c r="K12" s="14">
        <f t="shared" si="4"/>
        <v>106769271.82</v>
      </c>
      <c r="L12" s="14">
        <f t="shared" si="4"/>
        <v>12217106.03</v>
      </c>
      <c r="M12" s="14">
        <f t="shared" si="4"/>
        <v>1506785</v>
      </c>
      <c r="N12" s="14">
        <f t="shared" si="4"/>
        <v>71340</v>
      </c>
      <c r="O12" s="14">
        <f t="shared" si="4"/>
        <v>71340</v>
      </c>
      <c r="P12" s="14">
        <f t="shared" si="4"/>
        <v>71340</v>
      </c>
      <c r="Q12" s="14">
        <f t="shared" si="4"/>
        <v>71340</v>
      </c>
      <c r="R12" s="14">
        <f t="shared" si="4"/>
        <v>0</v>
      </c>
      <c r="S12" s="14">
        <f t="shared" si="4"/>
        <v>0</v>
      </c>
      <c r="T12" s="14">
        <f aca="true" t="shared" si="5" ref="T12:AB12">T15</f>
        <v>0</v>
      </c>
      <c r="U12" s="14">
        <f t="shared" si="5"/>
        <v>0</v>
      </c>
      <c r="V12" s="14">
        <f t="shared" si="5"/>
        <v>0</v>
      </c>
      <c r="W12" s="14">
        <f t="shared" si="5"/>
        <v>0</v>
      </c>
      <c r="X12" s="14">
        <f t="shared" si="5"/>
        <v>0</v>
      </c>
      <c r="Y12" s="14">
        <f t="shared" si="5"/>
        <v>0</v>
      </c>
      <c r="Z12" s="14">
        <f t="shared" si="5"/>
        <v>0</v>
      </c>
      <c r="AA12" s="14">
        <f t="shared" si="5"/>
        <v>0</v>
      </c>
      <c r="AB12" s="14">
        <f t="shared" si="5"/>
        <v>0</v>
      </c>
      <c r="AC12" s="14">
        <f>AC15</f>
        <v>254204752.96</v>
      </c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</row>
    <row r="13" spans="1:68" s="27" customFormat="1" ht="19.5" customHeight="1">
      <c r="A13" s="10" t="s">
        <v>75</v>
      </c>
      <c r="B13" s="86" t="s">
        <v>57</v>
      </c>
      <c r="C13" s="87"/>
      <c r="D13" s="87"/>
      <c r="E13" s="87"/>
      <c r="F13" s="87"/>
      <c r="G13" s="88"/>
      <c r="H13" s="14">
        <f aca="true" t="shared" si="6" ref="H13:R13">SUM(H14:H15)</f>
        <v>308245088.73</v>
      </c>
      <c r="I13" s="14">
        <f t="shared" si="6"/>
        <v>31902923.640000004</v>
      </c>
      <c r="J13" s="14">
        <f>SUM(J14:J15)</f>
        <v>155080096.44</v>
      </c>
      <c r="K13" s="14">
        <f>SUM(K14:K15)</f>
        <v>106797691.22</v>
      </c>
      <c r="L13" s="14">
        <f t="shared" si="6"/>
        <v>12245525.43</v>
      </c>
      <c r="M13" s="14">
        <f t="shared" si="6"/>
        <v>1535204.4</v>
      </c>
      <c r="N13" s="14">
        <f t="shared" si="6"/>
        <v>99759.4</v>
      </c>
      <c r="O13" s="14">
        <f t="shared" si="6"/>
        <v>99759.4</v>
      </c>
      <c r="P13" s="14">
        <f t="shared" si="6"/>
        <v>99759.4</v>
      </c>
      <c r="Q13" s="14">
        <f t="shared" si="6"/>
        <v>99759.4</v>
      </c>
      <c r="R13" s="14">
        <f t="shared" si="6"/>
        <v>28419.4</v>
      </c>
      <c r="S13" s="14">
        <f>SUM(S14:S15)</f>
        <v>28419.4</v>
      </c>
      <c r="T13" s="14">
        <f aca="true" t="shared" si="7" ref="T13:AC13">SUM(T14:T15)</f>
        <v>28419.4</v>
      </c>
      <c r="U13" s="14">
        <f t="shared" si="7"/>
        <v>28419.4</v>
      </c>
      <c r="V13" s="14">
        <f t="shared" si="7"/>
        <v>28419.4</v>
      </c>
      <c r="W13" s="14">
        <f t="shared" si="7"/>
        <v>28419.4</v>
      </c>
      <c r="X13" s="14">
        <f t="shared" si="7"/>
        <v>28419.4</v>
      </c>
      <c r="Y13" s="14">
        <f t="shared" si="7"/>
        <v>28419.4</v>
      </c>
      <c r="Z13" s="14">
        <f t="shared" si="7"/>
        <v>28419.4</v>
      </c>
      <c r="AA13" s="14">
        <f t="shared" si="7"/>
        <v>28419.4</v>
      </c>
      <c r="AB13" s="14">
        <f t="shared" si="7"/>
        <v>416</v>
      </c>
      <c r="AC13" s="14">
        <f t="shared" si="7"/>
        <v>254259952.96</v>
      </c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</row>
    <row r="14" spans="1:68" s="27" customFormat="1" ht="16.5" customHeight="1">
      <c r="A14" s="10"/>
      <c r="B14" s="86" t="s">
        <v>58</v>
      </c>
      <c r="C14" s="87"/>
      <c r="D14" s="87"/>
      <c r="E14" s="87"/>
      <c r="F14" s="87"/>
      <c r="G14" s="88"/>
      <c r="H14" s="14">
        <f aca="true" t="shared" si="8" ref="H14:S14">H17+H26+H29</f>
        <v>709579.3400000002</v>
      </c>
      <c r="I14" s="14">
        <f t="shared" si="8"/>
        <v>142414.14</v>
      </c>
      <c r="J14" s="14">
        <f>J17+J26+J29</f>
        <v>83619.4</v>
      </c>
      <c r="K14" s="14">
        <f t="shared" si="8"/>
        <v>28419.4</v>
      </c>
      <c r="L14" s="14">
        <f t="shared" si="8"/>
        <v>28419.4</v>
      </c>
      <c r="M14" s="14">
        <f t="shared" si="8"/>
        <v>28419.4</v>
      </c>
      <c r="N14" s="14">
        <f t="shared" si="8"/>
        <v>28419.4</v>
      </c>
      <c r="O14" s="14">
        <f t="shared" si="8"/>
        <v>28419.4</v>
      </c>
      <c r="P14" s="14">
        <f t="shared" si="8"/>
        <v>28419.4</v>
      </c>
      <c r="Q14" s="14">
        <f t="shared" si="8"/>
        <v>28419.4</v>
      </c>
      <c r="R14" s="14">
        <f t="shared" si="8"/>
        <v>28419.4</v>
      </c>
      <c r="S14" s="14">
        <f t="shared" si="8"/>
        <v>28419.4</v>
      </c>
      <c r="T14" s="14">
        <f aca="true" t="shared" si="9" ref="T14:AB14">T17+T26+T29</f>
        <v>28419.4</v>
      </c>
      <c r="U14" s="14">
        <f t="shared" si="9"/>
        <v>28419.4</v>
      </c>
      <c r="V14" s="14">
        <f t="shared" si="9"/>
        <v>28419.4</v>
      </c>
      <c r="W14" s="14">
        <f t="shared" si="9"/>
        <v>28419.4</v>
      </c>
      <c r="X14" s="14">
        <f t="shared" si="9"/>
        <v>28419.4</v>
      </c>
      <c r="Y14" s="14">
        <f t="shared" si="9"/>
        <v>28419.4</v>
      </c>
      <c r="Z14" s="14">
        <f t="shared" si="9"/>
        <v>28419.4</v>
      </c>
      <c r="AA14" s="14">
        <f t="shared" si="9"/>
        <v>28419.4</v>
      </c>
      <c r="AB14" s="14">
        <f t="shared" si="9"/>
        <v>416</v>
      </c>
      <c r="AC14" s="14">
        <f>AC17+AC26+AC29</f>
        <v>55200</v>
      </c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</row>
    <row r="15" spans="1:68" s="27" customFormat="1" ht="16.5" customHeight="1">
      <c r="A15" s="10"/>
      <c r="B15" s="86" t="s">
        <v>59</v>
      </c>
      <c r="C15" s="87"/>
      <c r="D15" s="87"/>
      <c r="E15" s="87"/>
      <c r="F15" s="87"/>
      <c r="G15" s="88"/>
      <c r="H15" s="14">
        <f aca="true" t="shared" si="10" ref="H15:S15">H19+H27+H32</f>
        <v>307535509.39000005</v>
      </c>
      <c r="I15" s="14">
        <f>I19+I27+I32</f>
        <v>31760509.500000004</v>
      </c>
      <c r="J15" s="14">
        <f>J19+J27+J32</f>
        <v>154996477.04</v>
      </c>
      <c r="K15" s="14">
        <f t="shared" si="10"/>
        <v>106769271.82</v>
      </c>
      <c r="L15" s="14">
        <f t="shared" si="10"/>
        <v>12217106.03</v>
      </c>
      <c r="M15" s="14">
        <f t="shared" si="10"/>
        <v>1506785</v>
      </c>
      <c r="N15" s="14">
        <f t="shared" si="10"/>
        <v>71340</v>
      </c>
      <c r="O15" s="14">
        <f t="shared" si="10"/>
        <v>71340</v>
      </c>
      <c r="P15" s="14">
        <f t="shared" si="10"/>
        <v>71340</v>
      </c>
      <c r="Q15" s="14">
        <f t="shared" si="10"/>
        <v>71340</v>
      </c>
      <c r="R15" s="14">
        <f t="shared" si="10"/>
        <v>0</v>
      </c>
      <c r="S15" s="14">
        <f t="shared" si="10"/>
        <v>0</v>
      </c>
      <c r="T15" s="14">
        <f aca="true" t="shared" si="11" ref="T15:AB15">T19+T27+T32</f>
        <v>0</v>
      </c>
      <c r="U15" s="14">
        <f t="shared" si="11"/>
        <v>0</v>
      </c>
      <c r="V15" s="14">
        <f t="shared" si="11"/>
        <v>0</v>
      </c>
      <c r="W15" s="14">
        <f t="shared" si="11"/>
        <v>0</v>
      </c>
      <c r="X15" s="14">
        <f t="shared" si="11"/>
        <v>0</v>
      </c>
      <c r="Y15" s="14">
        <f t="shared" si="11"/>
        <v>0</v>
      </c>
      <c r="Z15" s="14">
        <f t="shared" si="11"/>
        <v>0</v>
      </c>
      <c r="AA15" s="14">
        <f t="shared" si="11"/>
        <v>0</v>
      </c>
      <c r="AB15" s="14">
        <f t="shared" si="11"/>
        <v>0</v>
      </c>
      <c r="AC15" s="14">
        <f>AC19+AC27+AC32</f>
        <v>254204752.96</v>
      </c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</row>
    <row r="16" spans="1:68" s="18" customFormat="1" ht="33.75" customHeight="1">
      <c r="A16" s="11" t="s">
        <v>56</v>
      </c>
      <c r="B16" s="89" t="s">
        <v>60</v>
      </c>
      <c r="C16" s="90"/>
      <c r="D16" s="90"/>
      <c r="E16" s="90"/>
      <c r="F16" s="90"/>
      <c r="G16" s="91"/>
      <c r="H16" s="14">
        <f>H17+H19</f>
        <v>304102815.5300001</v>
      </c>
      <c r="I16" s="14">
        <f>I17+I19</f>
        <v>31598256.640000004</v>
      </c>
      <c r="J16" s="14">
        <f aca="true" t="shared" si="12" ref="J16:S16">J17+J19</f>
        <v>151726036.04</v>
      </c>
      <c r="K16" s="14">
        <f t="shared" si="12"/>
        <v>106769271.82</v>
      </c>
      <c r="L16" s="14">
        <f t="shared" si="12"/>
        <v>12217106.03</v>
      </c>
      <c r="M16" s="14">
        <f t="shared" si="12"/>
        <v>1506785</v>
      </c>
      <c r="N16" s="14">
        <f t="shared" si="12"/>
        <v>71340</v>
      </c>
      <c r="O16" s="14">
        <f t="shared" si="12"/>
        <v>71340</v>
      </c>
      <c r="P16" s="14">
        <f t="shared" si="12"/>
        <v>71340</v>
      </c>
      <c r="Q16" s="14">
        <f t="shared" si="12"/>
        <v>71340</v>
      </c>
      <c r="R16" s="14">
        <f t="shared" si="12"/>
        <v>0</v>
      </c>
      <c r="S16" s="14">
        <f t="shared" si="12"/>
        <v>0</v>
      </c>
      <c r="T16" s="14">
        <f aca="true" t="shared" si="13" ref="T16:AB16">T17+T19</f>
        <v>0</v>
      </c>
      <c r="U16" s="14">
        <f t="shared" si="13"/>
        <v>0</v>
      </c>
      <c r="V16" s="14">
        <f t="shared" si="13"/>
        <v>0</v>
      </c>
      <c r="W16" s="14">
        <f t="shared" si="13"/>
        <v>0</v>
      </c>
      <c r="X16" s="14">
        <f t="shared" si="13"/>
        <v>0</v>
      </c>
      <c r="Y16" s="14">
        <f t="shared" si="13"/>
        <v>0</v>
      </c>
      <c r="Z16" s="14">
        <f t="shared" si="13"/>
        <v>0</v>
      </c>
      <c r="AA16" s="14">
        <f t="shared" si="13"/>
        <v>0</v>
      </c>
      <c r="AB16" s="14">
        <f t="shared" si="13"/>
        <v>0</v>
      </c>
      <c r="AC16" s="14">
        <f>AC17+AC19</f>
        <v>250893311.96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</row>
    <row r="17" spans="1:68" s="18" customFormat="1" ht="16.5" customHeight="1" outlineLevel="1">
      <c r="A17" s="11"/>
      <c r="B17" s="92" t="s">
        <v>61</v>
      </c>
      <c r="C17" s="93"/>
      <c r="D17" s="93"/>
      <c r="E17" s="93"/>
      <c r="F17" s="93"/>
      <c r="G17" s="94"/>
      <c r="H17" s="14">
        <f>H18</f>
        <v>76089.59999999999</v>
      </c>
      <c r="I17" s="14">
        <f aca="true" t="shared" si="14" ref="I17:AC17">I18</f>
        <v>60889.59999999999</v>
      </c>
      <c r="J17" s="14">
        <f t="shared" si="14"/>
        <v>15200</v>
      </c>
      <c r="K17" s="14">
        <f t="shared" si="14"/>
        <v>0</v>
      </c>
      <c r="L17" s="14">
        <f t="shared" si="14"/>
        <v>0</v>
      </c>
      <c r="M17" s="14">
        <f t="shared" si="14"/>
        <v>0</v>
      </c>
      <c r="N17" s="14">
        <f t="shared" si="14"/>
        <v>0</v>
      </c>
      <c r="O17" s="14">
        <f t="shared" si="14"/>
        <v>0</v>
      </c>
      <c r="P17" s="14">
        <f t="shared" si="14"/>
        <v>0</v>
      </c>
      <c r="Q17" s="14">
        <f t="shared" si="14"/>
        <v>0</v>
      </c>
      <c r="R17" s="14">
        <f t="shared" si="14"/>
        <v>0</v>
      </c>
      <c r="S17" s="14">
        <f t="shared" si="14"/>
        <v>0</v>
      </c>
      <c r="T17" s="14">
        <f t="shared" si="14"/>
        <v>0</v>
      </c>
      <c r="U17" s="14">
        <f t="shared" si="14"/>
        <v>0</v>
      </c>
      <c r="V17" s="14">
        <f t="shared" si="14"/>
        <v>0</v>
      </c>
      <c r="W17" s="14">
        <f t="shared" si="14"/>
        <v>0</v>
      </c>
      <c r="X17" s="14">
        <f t="shared" si="14"/>
        <v>0</v>
      </c>
      <c r="Y17" s="14">
        <f t="shared" si="14"/>
        <v>0</v>
      </c>
      <c r="Z17" s="14">
        <f t="shared" si="14"/>
        <v>0</v>
      </c>
      <c r="AA17" s="14">
        <f t="shared" si="14"/>
        <v>0</v>
      </c>
      <c r="AB17" s="14">
        <f t="shared" si="14"/>
        <v>0</v>
      </c>
      <c r="AC17" s="14">
        <f t="shared" si="14"/>
        <v>15200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</row>
    <row r="18" spans="1:68" s="18" customFormat="1" ht="93.75" customHeight="1" outlineLevel="2">
      <c r="A18" s="11" t="s">
        <v>24</v>
      </c>
      <c r="B18" s="1" t="s">
        <v>100</v>
      </c>
      <c r="C18" s="48" t="s">
        <v>14</v>
      </c>
      <c r="D18" s="3">
        <v>2010</v>
      </c>
      <c r="E18" s="4">
        <v>2012</v>
      </c>
      <c r="F18" s="4">
        <v>801</v>
      </c>
      <c r="G18" s="4">
        <v>80195</v>
      </c>
      <c r="H18" s="5">
        <f>SUM(I18:R18)</f>
        <v>76089.59999999999</v>
      </c>
      <c r="I18" s="5">
        <f>37598.34+23291.26</f>
        <v>60889.59999999999</v>
      </c>
      <c r="J18" s="5">
        <v>15200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15200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</row>
    <row r="19" spans="1:68" s="18" customFormat="1" ht="15.75" customHeight="1" outlineLevel="1">
      <c r="A19" s="11"/>
      <c r="B19" s="92" t="s">
        <v>62</v>
      </c>
      <c r="C19" s="93"/>
      <c r="D19" s="93"/>
      <c r="E19" s="93"/>
      <c r="F19" s="93"/>
      <c r="G19" s="94"/>
      <c r="H19" s="14">
        <f>SUM(H20:H24)</f>
        <v>304026725.93000007</v>
      </c>
      <c r="I19" s="14">
        <f>SUM(I20:I24)</f>
        <v>31537367.040000003</v>
      </c>
      <c r="J19" s="14">
        <f>SUM(J20:J24)</f>
        <v>151710836.04</v>
      </c>
      <c r="K19" s="14">
        <f aca="true" t="shared" si="15" ref="K19:AC19">SUM(K20:K24)</f>
        <v>106769271.82</v>
      </c>
      <c r="L19" s="14">
        <f t="shared" si="15"/>
        <v>12217106.03</v>
      </c>
      <c r="M19" s="14">
        <f t="shared" si="15"/>
        <v>1506785</v>
      </c>
      <c r="N19" s="14">
        <f t="shared" si="15"/>
        <v>71340</v>
      </c>
      <c r="O19" s="14">
        <f t="shared" si="15"/>
        <v>71340</v>
      </c>
      <c r="P19" s="14">
        <f t="shared" si="15"/>
        <v>71340</v>
      </c>
      <c r="Q19" s="14">
        <f t="shared" si="15"/>
        <v>71340</v>
      </c>
      <c r="R19" s="14">
        <f t="shared" si="15"/>
        <v>0</v>
      </c>
      <c r="S19" s="14">
        <f t="shared" si="15"/>
        <v>0</v>
      </c>
      <c r="T19" s="14">
        <f t="shared" si="15"/>
        <v>0</v>
      </c>
      <c r="U19" s="14">
        <f t="shared" si="15"/>
        <v>0</v>
      </c>
      <c r="V19" s="14">
        <f t="shared" si="15"/>
        <v>0</v>
      </c>
      <c r="W19" s="14">
        <f t="shared" si="15"/>
        <v>0</v>
      </c>
      <c r="X19" s="14">
        <f t="shared" si="15"/>
        <v>0</v>
      </c>
      <c r="Y19" s="14">
        <f t="shared" si="15"/>
        <v>0</v>
      </c>
      <c r="Z19" s="14">
        <f t="shared" si="15"/>
        <v>0</v>
      </c>
      <c r="AA19" s="14">
        <f t="shared" si="15"/>
        <v>0</v>
      </c>
      <c r="AB19" s="14">
        <f t="shared" si="15"/>
        <v>0</v>
      </c>
      <c r="AC19" s="14">
        <f t="shared" si="15"/>
        <v>250878111.96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</row>
    <row r="20" spans="1:68" s="41" customFormat="1" ht="132" customHeight="1" outlineLevel="1">
      <c r="A20" s="11" t="s">
        <v>24</v>
      </c>
      <c r="B20" s="49" t="s">
        <v>113</v>
      </c>
      <c r="C20" s="50" t="s">
        <v>11</v>
      </c>
      <c r="D20" s="51">
        <v>2003</v>
      </c>
      <c r="E20" s="4">
        <v>2015</v>
      </c>
      <c r="F20" s="4">
        <v>900</v>
      </c>
      <c r="G20" s="4">
        <v>90095</v>
      </c>
      <c r="H20" s="5">
        <f>SUM(I20:R20)</f>
        <v>279808743.67</v>
      </c>
      <c r="I20" s="5">
        <v>22816201.32</v>
      </c>
      <c r="J20" s="5">
        <v>141390214.84</v>
      </c>
      <c r="K20" s="5">
        <v>105057821.82</v>
      </c>
      <c r="L20" s="5">
        <v>10210427.83</v>
      </c>
      <c r="M20" s="5">
        <v>334077.86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v>235837476.21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68" s="41" customFormat="1" ht="98.25" customHeight="1" outlineLevel="1">
      <c r="A21" s="11" t="s">
        <v>25</v>
      </c>
      <c r="B21" s="49" t="s">
        <v>88</v>
      </c>
      <c r="C21" s="52" t="s">
        <v>11</v>
      </c>
      <c r="D21" s="51">
        <v>2008</v>
      </c>
      <c r="E21" s="4">
        <v>2012</v>
      </c>
      <c r="F21" s="4">
        <v>750</v>
      </c>
      <c r="G21" s="4">
        <v>75020</v>
      </c>
      <c r="H21" s="5">
        <f>SUM(I21:R21)</f>
        <v>3362000</v>
      </c>
      <c r="I21" s="5">
        <f>892747.26+1135000</f>
        <v>2027747.26</v>
      </c>
      <c r="J21" s="5">
        <v>1334252.74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v>482049.9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68" s="41" customFormat="1" ht="189.75" customHeight="1" outlineLevel="1">
      <c r="A22" s="62" t="s">
        <v>26</v>
      </c>
      <c r="B22" s="49" t="s">
        <v>86</v>
      </c>
      <c r="C22" s="52" t="s">
        <v>11</v>
      </c>
      <c r="D22" s="3">
        <v>2008</v>
      </c>
      <c r="E22" s="4">
        <v>2012</v>
      </c>
      <c r="F22" s="4">
        <v>600</v>
      </c>
      <c r="G22" s="4">
        <v>60015</v>
      </c>
      <c r="H22" s="5">
        <f>SUM(I22:R22)</f>
        <v>10105419.93</v>
      </c>
      <c r="I22" s="14">
        <f>1300033.13+2722957.1</f>
        <v>4022990.23</v>
      </c>
      <c r="J22" s="5">
        <v>6082429.7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v>6427751.75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68" s="18" customFormat="1" ht="78" customHeight="1" outlineLevel="1">
      <c r="A23" s="11" t="s">
        <v>27</v>
      </c>
      <c r="B23" s="49" t="s">
        <v>83</v>
      </c>
      <c r="C23" s="50" t="s">
        <v>11</v>
      </c>
      <c r="D23" s="51">
        <v>2008</v>
      </c>
      <c r="E23" s="4">
        <v>2019</v>
      </c>
      <c r="F23" s="4">
        <v>900</v>
      </c>
      <c r="G23" s="4">
        <v>90095</v>
      </c>
      <c r="H23" s="5">
        <f>SUM(I23:R23)</f>
        <v>3902476.1000000006</v>
      </c>
      <c r="I23" s="5">
        <f>1219536.04+577723.1+501450</f>
        <v>2298709.14</v>
      </c>
      <c r="J23" s="5">
        <v>503938.76</v>
      </c>
      <c r="K23" s="5">
        <v>261450</v>
      </c>
      <c r="L23" s="5">
        <v>481678.2</v>
      </c>
      <c r="M23" s="5">
        <v>71340</v>
      </c>
      <c r="N23" s="5">
        <v>71340</v>
      </c>
      <c r="O23" s="5">
        <v>71340</v>
      </c>
      <c r="P23" s="5">
        <v>71340</v>
      </c>
      <c r="Q23" s="5">
        <v>71340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1603766.96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68" s="41" customFormat="1" ht="139.5" customHeight="1" outlineLevel="1">
      <c r="A24" s="62" t="s">
        <v>28</v>
      </c>
      <c r="B24" s="49" t="s">
        <v>101</v>
      </c>
      <c r="C24" s="50" t="s">
        <v>11</v>
      </c>
      <c r="D24" s="51">
        <v>2008</v>
      </c>
      <c r="E24" s="4">
        <v>2015</v>
      </c>
      <c r="F24" s="4">
        <v>921</v>
      </c>
      <c r="G24" s="4">
        <v>92195</v>
      </c>
      <c r="H24" s="5">
        <f>SUM(I24:R24)</f>
        <v>6848086.2299999995</v>
      </c>
      <c r="I24" s="5">
        <f>321019.09+50700</f>
        <v>371719.09</v>
      </c>
      <c r="J24" s="5">
        <v>2400000</v>
      </c>
      <c r="K24" s="5">
        <v>1450000</v>
      </c>
      <c r="L24" s="5">
        <v>1525000</v>
      </c>
      <c r="M24" s="5">
        <v>1101367.14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>H24-321019.09</f>
        <v>6527067.14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68" ht="34.5" customHeight="1">
      <c r="A25" s="12" t="s">
        <v>68</v>
      </c>
      <c r="B25" s="95" t="s">
        <v>63</v>
      </c>
      <c r="C25" s="96"/>
      <c r="D25" s="96"/>
      <c r="E25" s="96"/>
      <c r="F25" s="96"/>
      <c r="G25" s="97"/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>
        <v>0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</row>
    <row r="26" spans="1:68" ht="16.5" customHeight="1" outlineLevel="1">
      <c r="A26" s="12"/>
      <c r="B26" s="98" t="s">
        <v>64</v>
      </c>
      <c r="C26" s="99"/>
      <c r="D26" s="99"/>
      <c r="E26" s="99"/>
      <c r="F26" s="99"/>
      <c r="G26" s="100"/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/>
      <c r="U26" s="14"/>
      <c r="V26" s="14"/>
      <c r="W26" s="14"/>
      <c r="X26" s="14"/>
      <c r="Y26" s="14"/>
      <c r="Z26" s="14"/>
      <c r="AA26" s="14"/>
      <c r="AB26" s="14"/>
      <c r="AC26" s="14">
        <v>0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</row>
    <row r="27" spans="1:68" ht="16.5" customHeight="1" outlineLevel="1">
      <c r="A27" s="12"/>
      <c r="B27" s="98" t="s">
        <v>65</v>
      </c>
      <c r="C27" s="99"/>
      <c r="D27" s="99"/>
      <c r="E27" s="99"/>
      <c r="F27" s="99"/>
      <c r="G27" s="100"/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/>
      <c r="U27" s="14"/>
      <c r="V27" s="14"/>
      <c r="W27" s="14"/>
      <c r="X27" s="14"/>
      <c r="Y27" s="14"/>
      <c r="Z27" s="14"/>
      <c r="AA27" s="14"/>
      <c r="AB27" s="14"/>
      <c r="AC27" s="14">
        <v>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</row>
    <row r="28" spans="1:68" ht="27" customHeight="1">
      <c r="A28" s="12" t="s">
        <v>70</v>
      </c>
      <c r="B28" s="95" t="s">
        <v>66</v>
      </c>
      <c r="C28" s="96"/>
      <c r="D28" s="96"/>
      <c r="E28" s="96"/>
      <c r="F28" s="96"/>
      <c r="G28" s="97"/>
      <c r="H28" s="14">
        <f>H29+H32</f>
        <v>4142273.2</v>
      </c>
      <c r="I28" s="14">
        <f aca="true" t="shared" si="16" ref="I28:AC28">I29+I32</f>
        <v>304667</v>
      </c>
      <c r="J28" s="14">
        <f t="shared" si="16"/>
        <v>3354060.4</v>
      </c>
      <c r="K28" s="14">
        <f t="shared" si="16"/>
        <v>28419.4</v>
      </c>
      <c r="L28" s="14">
        <f t="shared" si="16"/>
        <v>28419.4</v>
      </c>
      <c r="M28" s="14">
        <f t="shared" si="16"/>
        <v>28419.4</v>
      </c>
      <c r="N28" s="14">
        <f t="shared" si="16"/>
        <v>28419.4</v>
      </c>
      <c r="O28" s="14">
        <f t="shared" si="16"/>
        <v>28419.4</v>
      </c>
      <c r="P28" s="14">
        <f t="shared" si="16"/>
        <v>28419.4</v>
      </c>
      <c r="Q28" s="14">
        <f t="shared" si="16"/>
        <v>28419.4</v>
      </c>
      <c r="R28" s="14">
        <f t="shared" si="16"/>
        <v>28419.4</v>
      </c>
      <c r="S28" s="14">
        <f t="shared" si="16"/>
        <v>28419.4</v>
      </c>
      <c r="T28" s="14">
        <f t="shared" si="16"/>
        <v>28419.4</v>
      </c>
      <c r="U28" s="14">
        <f t="shared" si="16"/>
        <v>28419.4</v>
      </c>
      <c r="V28" s="14">
        <f t="shared" si="16"/>
        <v>28419.4</v>
      </c>
      <c r="W28" s="14">
        <f t="shared" si="16"/>
        <v>28419.4</v>
      </c>
      <c r="X28" s="14">
        <f t="shared" si="16"/>
        <v>28419.4</v>
      </c>
      <c r="Y28" s="14">
        <f t="shared" si="16"/>
        <v>28419.4</v>
      </c>
      <c r="Z28" s="14">
        <f t="shared" si="16"/>
        <v>28419.4</v>
      </c>
      <c r="AA28" s="14">
        <f t="shared" si="16"/>
        <v>28419.4</v>
      </c>
      <c r="AB28" s="14">
        <f t="shared" si="16"/>
        <v>416</v>
      </c>
      <c r="AC28" s="14">
        <f t="shared" si="16"/>
        <v>3366641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</row>
    <row r="29" spans="1:68" ht="16.5" customHeight="1" outlineLevel="1">
      <c r="A29" s="12"/>
      <c r="B29" s="98" t="s">
        <v>64</v>
      </c>
      <c r="C29" s="99"/>
      <c r="D29" s="99"/>
      <c r="E29" s="99"/>
      <c r="F29" s="99"/>
      <c r="G29" s="100"/>
      <c r="H29" s="14">
        <f>SUM(H30:H31)</f>
        <v>633489.7400000002</v>
      </c>
      <c r="I29" s="14">
        <f aca="true" t="shared" si="17" ref="I29:AC29">SUM(I30:I31)</f>
        <v>81524.54000000001</v>
      </c>
      <c r="J29" s="14">
        <f t="shared" si="17"/>
        <v>68419.4</v>
      </c>
      <c r="K29" s="14">
        <f t="shared" si="17"/>
        <v>28419.4</v>
      </c>
      <c r="L29" s="14">
        <f t="shared" si="17"/>
        <v>28419.4</v>
      </c>
      <c r="M29" s="14">
        <f t="shared" si="17"/>
        <v>28419.4</v>
      </c>
      <c r="N29" s="14">
        <f t="shared" si="17"/>
        <v>28419.4</v>
      </c>
      <c r="O29" s="14">
        <f t="shared" si="17"/>
        <v>28419.4</v>
      </c>
      <c r="P29" s="14">
        <f t="shared" si="17"/>
        <v>28419.4</v>
      </c>
      <c r="Q29" s="14">
        <f t="shared" si="17"/>
        <v>28419.4</v>
      </c>
      <c r="R29" s="14">
        <f t="shared" si="17"/>
        <v>28419.4</v>
      </c>
      <c r="S29" s="14">
        <f t="shared" si="17"/>
        <v>28419.4</v>
      </c>
      <c r="T29" s="14">
        <f t="shared" si="17"/>
        <v>28419.4</v>
      </c>
      <c r="U29" s="14">
        <f t="shared" si="17"/>
        <v>28419.4</v>
      </c>
      <c r="V29" s="14">
        <f t="shared" si="17"/>
        <v>28419.4</v>
      </c>
      <c r="W29" s="14">
        <f t="shared" si="17"/>
        <v>28419.4</v>
      </c>
      <c r="X29" s="14">
        <f t="shared" si="17"/>
        <v>28419.4</v>
      </c>
      <c r="Y29" s="14">
        <f t="shared" si="17"/>
        <v>28419.4</v>
      </c>
      <c r="Z29" s="14">
        <f t="shared" si="17"/>
        <v>28419.4</v>
      </c>
      <c r="AA29" s="14">
        <f t="shared" si="17"/>
        <v>28419.4</v>
      </c>
      <c r="AB29" s="14">
        <f t="shared" si="17"/>
        <v>416</v>
      </c>
      <c r="AC29" s="14">
        <f t="shared" si="17"/>
        <v>40000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</row>
    <row r="30" spans="1:29" ht="112.5" customHeight="1" outlineLevel="1">
      <c r="A30" s="12" t="s">
        <v>24</v>
      </c>
      <c r="B30" s="15" t="s">
        <v>112</v>
      </c>
      <c r="C30" s="28" t="s">
        <v>11</v>
      </c>
      <c r="D30" s="16">
        <v>2011</v>
      </c>
      <c r="E30" s="17">
        <v>2030</v>
      </c>
      <c r="F30" s="17">
        <v>900</v>
      </c>
      <c r="G30" s="17">
        <v>90095</v>
      </c>
      <c r="H30" s="14">
        <f>SUM(I30:AB30)</f>
        <v>553489.7400000002</v>
      </c>
      <c r="I30" s="14">
        <f>13105.14+28419.4</f>
        <v>41524.54</v>
      </c>
      <c r="J30" s="40">
        <f>28419.4</f>
        <v>28419.4</v>
      </c>
      <c r="K30" s="40">
        <v>28419.4</v>
      </c>
      <c r="L30" s="40">
        <v>28419.4</v>
      </c>
      <c r="M30" s="40">
        <v>28419.4</v>
      </c>
      <c r="N30" s="40">
        <v>28419.4</v>
      </c>
      <c r="O30" s="40">
        <v>28419.4</v>
      </c>
      <c r="P30" s="40">
        <v>28419.4</v>
      </c>
      <c r="Q30" s="40">
        <v>28419.4</v>
      </c>
      <c r="R30" s="40">
        <v>28419.4</v>
      </c>
      <c r="S30" s="40">
        <v>28419.4</v>
      </c>
      <c r="T30" s="40">
        <v>28419.4</v>
      </c>
      <c r="U30" s="40">
        <v>28419.4</v>
      </c>
      <c r="V30" s="40">
        <v>28419.4</v>
      </c>
      <c r="W30" s="40">
        <v>28419.4</v>
      </c>
      <c r="X30" s="40">
        <v>28419.4</v>
      </c>
      <c r="Y30" s="40">
        <v>28419.4</v>
      </c>
      <c r="Z30" s="40">
        <v>28419.4</v>
      </c>
      <c r="AA30" s="40">
        <v>28419.4</v>
      </c>
      <c r="AB30" s="40">
        <v>416</v>
      </c>
      <c r="AC30" s="14">
        <v>0</v>
      </c>
    </row>
    <row r="31" spans="1:29" ht="112.5" customHeight="1" outlineLevel="1">
      <c r="A31" s="12" t="s">
        <v>25</v>
      </c>
      <c r="B31" s="15" t="s">
        <v>123</v>
      </c>
      <c r="C31" s="28" t="s">
        <v>11</v>
      </c>
      <c r="D31" s="16">
        <v>2011</v>
      </c>
      <c r="E31" s="17">
        <v>2012</v>
      </c>
      <c r="F31" s="17">
        <v>900</v>
      </c>
      <c r="G31" s="17">
        <v>90095</v>
      </c>
      <c r="H31" s="14">
        <f>SUM(I31:AB31)</f>
        <v>80000</v>
      </c>
      <c r="I31" s="14">
        <v>40000</v>
      </c>
      <c r="J31" s="40">
        <f>40000</f>
        <v>40000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14">
        <v>40000</v>
      </c>
    </row>
    <row r="32" spans="1:141" ht="16.5" customHeight="1" outlineLevel="1">
      <c r="A32" s="12"/>
      <c r="B32" s="98" t="s">
        <v>65</v>
      </c>
      <c r="C32" s="99"/>
      <c r="D32" s="99"/>
      <c r="E32" s="99"/>
      <c r="F32" s="99"/>
      <c r="G32" s="100"/>
      <c r="H32" s="14">
        <f>SUM(H33:H40)</f>
        <v>3508783.46</v>
      </c>
      <c r="I32" s="14">
        <f>SUM(I33:I40)</f>
        <v>223142.46000000002</v>
      </c>
      <c r="J32" s="14">
        <f>SUM(J33:J40)</f>
        <v>3285641</v>
      </c>
      <c r="K32" s="14">
        <f aca="true" t="shared" si="18" ref="K32:AC32">SUM(K33:K40)</f>
        <v>0</v>
      </c>
      <c r="L32" s="14">
        <f t="shared" si="18"/>
        <v>0</v>
      </c>
      <c r="M32" s="14">
        <f t="shared" si="18"/>
        <v>0</v>
      </c>
      <c r="N32" s="14">
        <f t="shared" si="18"/>
        <v>0</v>
      </c>
      <c r="O32" s="14">
        <f t="shared" si="18"/>
        <v>0</v>
      </c>
      <c r="P32" s="14">
        <f t="shared" si="18"/>
        <v>0</v>
      </c>
      <c r="Q32" s="14">
        <f t="shared" si="18"/>
        <v>0</v>
      </c>
      <c r="R32" s="14">
        <f t="shared" si="18"/>
        <v>0</v>
      </c>
      <c r="S32" s="14">
        <f t="shared" si="18"/>
        <v>0</v>
      </c>
      <c r="T32" s="14">
        <f t="shared" si="18"/>
        <v>0</v>
      </c>
      <c r="U32" s="14">
        <f t="shared" si="18"/>
        <v>0</v>
      </c>
      <c r="V32" s="14">
        <f t="shared" si="18"/>
        <v>0</v>
      </c>
      <c r="W32" s="14">
        <f t="shared" si="18"/>
        <v>0</v>
      </c>
      <c r="X32" s="14">
        <f t="shared" si="18"/>
        <v>0</v>
      </c>
      <c r="Y32" s="14">
        <f t="shared" si="18"/>
        <v>0</v>
      </c>
      <c r="Z32" s="14">
        <f t="shared" si="18"/>
        <v>0</v>
      </c>
      <c r="AA32" s="14">
        <f t="shared" si="18"/>
        <v>0</v>
      </c>
      <c r="AB32" s="14">
        <f t="shared" si="18"/>
        <v>0</v>
      </c>
      <c r="AC32" s="14">
        <f t="shared" si="18"/>
        <v>3326641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</row>
    <row r="33" spans="1:68" s="18" customFormat="1" ht="125.25" customHeight="1" outlineLevel="1">
      <c r="A33" s="11" t="s">
        <v>24</v>
      </c>
      <c r="B33" s="49" t="s">
        <v>85</v>
      </c>
      <c r="C33" s="50" t="s">
        <v>11</v>
      </c>
      <c r="D33" s="51">
        <v>2011</v>
      </c>
      <c r="E33" s="4">
        <v>2012</v>
      </c>
      <c r="F33" s="4">
        <v>900</v>
      </c>
      <c r="G33" s="4">
        <v>90095</v>
      </c>
      <c r="H33" s="5">
        <f aca="true" t="shared" si="19" ref="H33:H40">SUM(I33:R33)</f>
        <v>400000</v>
      </c>
      <c r="I33" s="5">
        <v>16359</v>
      </c>
      <c r="J33" s="5">
        <v>383641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383641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s="18" customFormat="1" ht="97.5" customHeight="1" outlineLevel="1">
      <c r="A34" s="62" t="s">
        <v>25</v>
      </c>
      <c r="B34" s="49" t="s">
        <v>84</v>
      </c>
      <c r="C34" s="2" t="s">
        <v>11</v>
      </c>
      <c r="D34" s="51">
        <v>2011</v>
      </c>
      <c r="E34" s="4">
        <v>2012</v>
      </c>
      <c r="F34" s="4">
        <v>600</v>
      </c>
      <c r="G34" s="4">
        <v>60016</v>
      </c>
      <c r="H34" s="5">
        <f t="shared" si="19"/>
        <v>770000</v>
      </c>
      <c r="I34" s="5">
        <v>20000</v>
      </c>
      <c r="J34" s="5">
        <v>750000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750000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s="18" customFormat="1" ht="79.5" customHeight="1" outlineLevel="1">
      <c r="A35" s="62" t="s">
        <v>26</v>
      </c>
      <c r="B35" s="49" t="s">
        <v>102</v>
      </c>
      <c r="C35" s="2" t="s">
        <v>11</v>
      </c>
      <c r="D35" s="51">
        <v>2009</v>
      </c>
      <c r="E35" s="4">
        <v>2012</v>
      </c>
      <c r="F35" s="4">
        <v>600</v>
      </c>
      <c r="G35" s="4">
        <v>60016</v>
      </c>
      <c r="H35" s="5">
        <f t="shared" si="19"/>
        <v>1666510</v>
      </c>
      <c r="I35" s="5">
        <v>66510</v>
      </c>
      <c r="J35" s="5">
        <v>1600000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4">
        <v>1640000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s="18" customFormat="1" ht="64.5" customHeight="1" outlineLevel="1">
      <c r="A36" s="62" t="s">
        <v>27</v>
      </c>
      <c r="B36" s="53" t="s">
        <v>117</v>
      </c>
      <c r="C36" s="2" t="s">
        <v>11</v>
      </c>
      <c r="D36" s="3">
        <v>2011</v>
      </c>
      <c r="E36" s="4">
        <v>2012</v>
      </c>
      <c r="F36" s="4">
        <v>900</v>
      </c>
      <c r="G36" s="4">
        <v>90095</v>
      </c>
      <c r="H36" s="5">
        <f t="shared" si="19"/>
        <v>132600</v>
      </c>
      <c r="I36" s="5">
        <v>2600</v>
      </c>
      <c r="J36" s="5">
        <v>130000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130000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s="18" customFormat="1" ht="98.25" customHeight="1" outlineLevel="1">
      <c r="A37" s="11" t="s">
        <v>28</v>
      </c>
      <c r="B37" s="49" t="s">
        <v>122</v>
      </c>
      <c r="C37" s="2" t="s">
        <v>11</v>
      </c>
      <c r="D37" s="3">
        <v>2011</v>
      </c>
      <c r="E37" s="4">
        <v>2012</v>
      </c>
      <c r="F37" s="4">
        <v>900</v>
      </c>
      <c r="G37" s="4">
        <v>90095</v>
      </c>
      <c r="H37" s="5">
        <f t="shared" si="19"/>
        <v>88819</v>
      </c>
      <c r="I37" s="5">
        <v>18819</v>
      </c>
      <c r="J37" s="5">
        <v>70000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v>70000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s="18" customFormat="1" ht="125.25" customHeight="1" outlineLevel="1">
      <c r="A38" s="11" t="s">
        <v>29</v>
      </c>
      <c r="B38" s="49" t="s">
        <v>118</v>
      </c>
      <c r="C38" s="2" t="s">
        <v>11</v>
      </c>
      <c r="D38" s="3">
        <v>2011</v>
      </c>
      <c r="E38" s="4">
        <v>2012</v>
      </c>
      <c r="F38" s="4">
        <v>900</v>
      </c>
      <c r="G38" s="4">
        <v>90095</v>
      </c>
      <c r="H38" s="5">
        <f t="shared" si="19"/>
        <v>55498</v>
      </c>
      <c r="I38" s="5">
        <v>15498</v>
      </c>
      <c r="J38" s="5">
        <v>40000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v>40000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s="18" customFormat="1" ht="138.75" customHeight="1" outlineLevel="1">
      <c r="A39" s="11" t="s">
        <v>30</v>
      </c>
      <c r="B39" s="49" t="s">
        <v>119</v>
      </c>
      <c r="C39" s="2" t="s">
        <v>11</v>
      </c>
      <c r="D39" s="3">
        <v>2010</v>
      </c>
      <c r="E39" s="4">
        <v>2012</v>
      </c>
      <c r="F39" s="4">
        <v>900</v>
      </c>
      <c r="G39" s="4">
        <v>90095</v>
      </c>
      <c r="H39" s="5">
        <f>SUM(I39:R39)</f>
        <v>27906</v>
      </c>
      <c r="I39" s="5">
        <f>1000+8906</f>
        <v>9906</v>
      </c>
      <c r="J39" s="5">
        <v>18000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v>19000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s="18" customFormat="1" ht="78" customHeight="1" outlineLevel="1">
      <c r="A40" s="62" t="s">
        <v>31</v>
      </c>
      <c r="B40" s="49" t="s">
        <v>127</v>
      </c>
      <c r="C40" s="2" t="s">
        <v>11</v>
      </c>
      <c r="D40" s="3">
        <v>2010</v>
      </c>
      <c r="E40" s="4">
        <v>2012</v>
      </c>
      <c r="F40" s="4">
        <v>900</v>
      </c>
      <c r="G40" s="4">
        <v>90001</v>
      </c>
      <c r="H40" s="5">
        <f t="shared" si="19"/>
        <v>367450.46</v>
      </c>
      <c r="I40" s="5">
        <f>68450.46+5000</f>
        <v>73450.46</v>
      </c>
      <c r="J40" s="5">
        <v>294000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v>294000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ht="46.5" customHeight="1">
      <c r="A41" s="12" t="s">
        <v>76</v>
      </c>
      <c r="B41" s="103" t="s">
        <v>69</v>
      </c>
      <c r="C41" s="104"/>
      <c r="D41" s="104"/>
      <c r="E41" s="104"/>
      <c r="F41" s="104"/>
      <c r="G41" s="105"/>
      <c r="H41" s="14">
        <f>H42</f>
        <v>28002511.409999996</v>
      </c>
      <c r="I41" s="14">
        <f aca="true" t="shared" si="20" ref="I41:AC41">I42</f>
        <v>19322024.98</v>
      </c>
      <c r="J41" s="14">
        <f>J42</f>
        <v>7596503.009999998</v>
      </c>
      <c r="K41" s="14">
        <f t="shared" si="20"/>
        <v>543165.2999999999</v>
      </c>
      <c r="L41" s="14">
        <f t="shared" si="20"/>
        <v>275864.13999999996</v>
      </c>
      <c r="M41" s="14">
        <f t="shared" si="20"/>
        <v>242712.99</v>
      </c>
      <c r="N41" s="14">
        <f t="shared" si="20"/>
        <v>21390.53</v>
      </c>
      <c r="O41" s="14">
        <f t="shared" si="20"/>
        <v>510.19</v>
      </c>
      <c r="P41" s="14">
        <f t="shared" si="20"/>
        <v>154.19</v>
      </c>
      <c r="Q41" s="14">
        <f t="shared" si="20"/>
        <v>101.19</v>
      </c>
      <c r="R41" s="14">
        <f t="shared" si="20"/>
        <v>84.89</v>
      </c>
      <c r="S41" s="14">
        <f t="shared" si="20"/>
        <v>0</v>
      </c>
      <c r="T41" s="14"/>
      <c r="U41" s="14"/>
      <c r="V41" s="14"/>
      <c r="W41" s="14"/>
      <c r="X41" s="14"/>
      <c r="Y41" s="14"/>
      <c r="Z41" s="14"/>
      <c r="AA41" s="14"/>
      <c r="AB41" s="14"/>
      <c r="AC41" s="14">
        <f t="shared" si="20"/>
        <v>2132302.67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</row>
    <row r="42" spans="1:68" ht="16.5" customHeight="1" outlineLevel="1">
      <c r="A42" s="12"/>
      <c r="B42" s="98" t="s">
        <v>64</v>
      </c>
      <c r="C42" s="99"/>
      <c r="D42" s="99"/>
      <c r="E42" s="99"/>
      <c r="F42" s="99"/>
      <c r="G42" s="100"/>
      <c r="H42" s="14">
        <f aca="true" t="shared" si="21" ref="H42:AC42">SUM(H43:H73)</f>
        <v>28002511.409999996</v>
      </c>
      <c r="I42" s="14">
        <f t="shared" si="21"/>
        <v>19322024.98</v>
      </c>
      <c r="J42" s="14">
        <f t="shared" si="21"/>
        <v>7596503.009999998</v>
      </c>
      <c r="K42" s="14">
        <f t="shared" si="21"/>
        <v>543165.2999999999</v>
      </c>
      <c r="L42" s="14">
        <f t="shared" si="21"/>
        <v>275864.13999999996</v>
      </c>
      <c r="M42" s="14">
        <f t="shared" si="21"/>
        <v>242712.99</v>
      </c>
      <c r="N42" s="14">
        <f t="shared" si="21"/>
        <v>21390.53</v>
      </c>
      <c r="O42" s="14">
        <f t="shared" si="21"/>
        <v>510.19</v>
      </c>
      <c r="P42" s="14">
        <f t="shared" si="21"/>
        <v>154.19</v>
      </c>
      <c r="Q42" s="14">
        <f t="shared" si="21"/>
        <v>101.19</v>
      </c>
      <c r="R42" s="14">
        <f t="shared" si="21"/>
        <v>84.89</v>
      </c>
      <c r="S42" s="14">
        <f t="shared" si="21"/>
        <v>0</v>
      </c>
      <c r="T42" s="14">
        <f t="shared" si="21"/>
        <v>0</v>
      </c>
      <c r="U42" s="14">
        <f t="shared" si="21"/>
        <v>0</v>
      </c>
      <c r="V42" s="14">
        <f t="shared" si="21"/>
        <v>0</v>
      </c>
      <c r="W42" s="14">
        <f t="shared" si="21"/>
        <v>0</v>
      </c>
      <c r="X42" s="14">
        <f t="shared" si="21"/>
        <v>0</v>
      </c>
      <c r="Y42" s="14">
        <f t="shared" si="21"/>
        <v>0</v>
      </c>
      <c r="Z42" s="14">
        <f t="shared" si="21"/>
        <v>0</v>
      </c>
      <c r="AA42" s="14">
        <f t="shared" si="21"/>
        <v>0</v>
      </c>
      <c r="AB42" s="14">
        <f t="shared" si="21"/>
        <v>0</v>
      </c>
      <c r="AC42" s="14">
        <f t="shared" si="21"/>
        <v>2132302.67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</row>
    <row r="43" spans="1:68" ht="108" customHeight="1" outlineLevel="1">
      <c r="A43" s="11" t="s">
        <v>24</v>
      </c>
      <c r="B43" s="54" t="s">
        <v>103</v>
      </c>
      <c r="C43" s="48" t="s">
        <v>11</v>
      </c>
      <c r="D43" s="3">
        <v>2010</v>
      </c>
      <c r="E43" s="4">
        <v>2012</v>
      </c>
      <c r="F43" s="4">
        <v>852</v>
      </c>
      <c r="G43" s="4">
        <v>85203</v>
      </c>
      <c r="H43" s="5">
        <f aca="true" t="shared" si="22" ref="H43:H48">SUM(I43:R43)</f>
        <v>330000</v>
      </c>
      <c r="I43" s="5">
        <f>110000+110000</f>
        <v>220000</v>
      </c>
      <c r="J43" s="5">
        <v>110000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v>110000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</row>
    <row r="44" spans="1:68" ht="108.75" customHeight="1" outlineLevel="1">
      <c r="A44" s="11" t="s">
        <v>25</v>
      </c>
      <c r="B44" s="1" t="s">
        <v>104</v>
      </c>
      <c r="C44" s="48" t="s">
        <v>11</v>
      </c>
      <c r="D44" s="3">
        <v>2010</v>
      </c>
      <c r="E44" s="4">
        <v>2012</v>
      </c>
      <c r="F44" s="4">
        <v>750</v>
      </c>
      <c r="G44" s="4">
        <v>75023</v>
      </c>
      <c r="H44" s="5">
        <f>SUM(I44:R44)</f>
        <v>5074.4</v>
      </c>
      <c r="I44" s="5">
        <f>2829.6+1268.8</f>
        <v>4098.4</v>
      </c>
      <c r="J44" s="5">
        <v>976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v>976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</row>
    <row r="45" spans="1:68" ht="111" customHeight="1" outlineLevel="1">
      <c r="A45" s="11" t="s">
        <v>26</v>
      </c>
      <c r="B45" s="1" t="s">
        <v>105</v>
      </c>
      <c r="C45" s="48" t="s">
        <v>11</v>
      </c>
      <c r="D45" s="3">
        <v>2010</v>
      </c>
      <c r="E45" s="4">
        <v>2012</v>
      </c>
      <c r="F45" s="4">
        <v>750</v>
      </c>
      <c r="G45" s="4">
        <v>75023</v>
      </c>
      <c r="H45" s="5">
        <f t="shared" si="22"/>
        <v>801117.05</v>
      </c>
      <c r="I45" s="5">
        <f>236486.75+282315.3</f>
        <v>518802.05</v>
      </c>
      <c r="J45" s="5">
        <v>282315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v>282315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</row>
    <row r="46" spans="1:68" s="41" customFormat="1" ht="103.5" customHeight="1" outlineLevel="2">
      <c r="A46" s="11" t="s">
        <v>27</v>
      </c>
      <c r="B46" s="1" t="s">
        <v>77</v>
      </c>
      <c r="C46" s="55" t="s">
        <v>11</v>
      </c>
      <c r="D46" s="3">
        <v>2008</v>
      </c>
      <c r="E46" s="4">
        <v>2013</v>
      </c>
      <c r="F46" s="4">
        <v>750</v>
      </c>
      <c r="G46" s="4">
        <v>75023</v>
      </c>
      <c r="H46" s="47">
        <f t="shared" si="22"/>
        <v>27049</v>
      </c>
      <c r="I46" s="47">
        <f>16348+6642</f>
        <v>22990</v>
      </c>
      <c r="J46" s="47">
        <v>3567</v>
      </c>
      <c r="K46" s="47">
        <v>492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>
        <v>4059</v>
      </c>
      <c r="AD46" s="47"/>
      <c r="AE46" s="47"/>
      <c r="AF46" s="47"/>
      <c r="AG46" s="47"/>
      <c r="AH46" s="47"/>
      <c r="AI46" s="47"/>
      <c r="AJ46" s="47"/>
      <c r="AK46" s="47"/>
      <c r="AL46" s="47"/>
      <c r="AM46" s="47">
        <v>7686</v>
      </c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s="42" customFormat="1" ht="115.5" customHeight="1" outlineLevel="2">
      <c r="A47" s="11" t="s">
        <v>28</v>
      </c>
      <c r="B47" s="1" t="s">
        <v>106</v>
      </c>
      <c r="C47" s="50" t="s">
        <v>11</v>
      </c>
      <c r="D47" s="3">
        <v>2011</v>
      </c>
      <c r="E47" s="4">
        <v>2013</v>
      </c>
      <c r="F47" s="4">
        <v>750</v>
      </c>
      <c r="G47" s="4">
        <v>75023</v>
      </c>
      <c r="H47" s="5">
        <f t="shared" si="22"/>
        <v>39635.54000000001</v>
      </c>
      <c r="I47" s="5">
        <v>20853.06</v>
      </c>
      <c r="J47" s="5">
        <v>17567.82</v>
      </c>
      <c r="K47" s="5">
        <v>1214.66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v>18782.48</v>
      </c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s="42" customFormat="1" ht="90.75" customHeight="1" outlineLevel="2">
      <c r="A48" s="11" t="s">
        <v>29</v>
      </c>
      <c r="B48" s="1" t="s">
        <v>107</v>
      </c>
      <c r="C48" s="50" t="s">
        <v>11</v>
      </c>
      <c r="D48" s="3">
        <v>2011</v>
      </c>
      <c r="E48" s="4">
        <v>2013</v>
      </c>
      <c r="F48" s="4">
        <v>750</v>
      </c>
      <c r="G48" s="4">
        <v>75023</v>
      </c>
      <c r="H48" s="5">
        <f t="shared" si="22"/>
        <v>67384</v>
      </c>
      <c r="I48" s="5">
        <v>32206</v>
      </c>
      <c r="J48" s="5">
        <v>32472</v>
      </c>
      <c r="K48" s="5">
        <v>2706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>
        <v>35178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s="41" customFormat="1" ht="64.5" customHeight="1" outlineLevel="2">
      <c r="A49" s="11" t="s">
        <v>30</v>
      </c>
      <c r="B49" s="1" t="s">
        <v>108</v>
      </c>
      <c r="C49" s="50" t="s">
        <v>11</v>
      </c>
      <c r="D49" s="3">
        <v>2006</v>
      </c>
      <c r="E49" s="4">
        <v>2020</v>
      </c>
      <c r="F49" s="4">
        <v>600</v>
      </c>
      <c r="G49" s="4">
        <v>60016</v>
      </c>
      <c r="H49" s="5">
        <f>SUM(I49:S49)</f>
        <v>6024.07</v>
      </c>
      <c r="I49" s="5">
        <f>1257.66+468.41+600</f>
        <v>2326.07</v>
      </c>
      <c r="J49" s="5">
        <v>800</v>
      </c>
      <c r="K49" s="5">
        <v>529</v>
      </c>
      <c r="L49" s="5">
        <v>529</v>
      </c>
      <c r="M49" s="5">
        <v>529</v>
      </c>
      <c r="N49" s="5">
        <v>529</v>
      </c>
      <c r="O49" s="5">
        <v>489</v>
      </c>
      <c r="P49" s="5">
        <v>133</v>
      </c>
      <c r="Q49" s="5">
        <v>80</v>
      </c>
      <c r="R49" s="5">
        <v>80</v>
      </c>
      <c r="S49" s="5">
        <v>0</v>
      </c>
      <c r="T49" s="5"/>
      <c r="U49" s="5"/>
      <c r="V49" s="5"/>
      <c r="W49" s="5"/>
      <c r="X49" s="5"/>
      <c r="Y49" s="5"/>
      <c r="Z49" s="5"/>
      <c r="AA49" s="5"/>
      <c r="AB49" s="5"/>
      <c r="AC49" s="5">
        <v>3698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s="41" customFormat="1" ht="110.25" customHeight="1" outlineLevel="2">
      <c r="A50" s="11" t="s">
        <v>31</v>
      </c>
      <c r="B50" s="1" t="s">
        <v>109</v>
      </c>
      <c r="C50" s="50" t="s">
        <v>11</v>
      </c>
      <c r="D50" s="3">
        <v>2010</v>
      </c>
      <c r="E50" s="4">
        <v>2020</v>
      </c>
      <c r="F50" s="4">
        <v>900</v>
      </c>
      <c r="G50" s="4">
        <v>90095</v>
      </c>
      <c r="H50" s="5">
        <f>SUM(I50:S50)</f>
        <v>619.5800000000003</v>
      </c>
      <c r="I50" s="5">
        <f>260.41+74.98</f>
        <v>335.39000000000004</v>
      </c>
      <c r="J50" s="5">
        <v>100</v>
      </c>
      <c r="K50" s="5">
        <v>37.49</v>
      </c>
      <c r="L50" s="5">
        <v>35.86</v>
      </c>
      <c r="M50" s="5">
        <v>21.19</v>
      </c>
      <c r="N50" s="5">
        <v>21.19</v>
      </c>
      <c r="O50" s="5">
        <v>21.19</v>
      </c>
      <c r="P50" s="5">
        <v>21.19</v>
      </c>
      <c r="Q50" s="5">
        <v>21.19</v>
      </c>
      <c r="R50" s="5">
        <v>4.89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284.19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s="41" customFormat="1" ht="123" customHeight="1" outlineLevel="2">
      <c r="A51" s="11" t="s">
        <v>32</v>
      </c>
      <c r="B51" s="1" t="s">
        <v>110</v>
      </c>
      <c r="C51" s="50" t="s">
        <v>11</v>
      </c>
      <c r="D51" s="3">
        <v>2011</v>
      </c>
      <c r="E51" s="4">
        <v>2013</v>
      </c>
      <c r="F51" s="4">
        <v>700</v>
      </c>
      <c r="G51" s="4">
        <v>70021</v>
      </c>
      <c r="H51" s="5">
        <f>SUM(I51:S51)</f>
        <v>20260</v>
      </c>
      <c r="I51" s="5">
        <v>5500</v>
      </c>
      <c r="J51" s="5">
        <v>7380</v>
      </c>
      <c r="K51" s="5">
        <v>7380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v>14760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s="41" customFormat="1" ht="124.5" customHeight="1" outlineLevel="2">
      <c r="A52" s="11" t="s">
        <v>33</v>
      </c>
      <c r="B52" s="1" t="s">
        <v>111</v>
      </c>
      <c r="C52" s="50" t="s">
        <v>11</v>
      </c>
      <c r="D52" s="3">
        <v>2012</v>
      </c>
      <c r="E52" s="4">
        <v>2016</v>
      </c>
      <c r="F52" s="4">
        <v>750</v>
      </c>
      <c r="G52" s="4">
        <v>75023</v>
      </c>
      <c r="H52" s="5">
        <f>SUM(I52:R52)</f>
        <v>1490896.01</v>
      </c>
      <c r="I52" s="5">
        <v>0</v>
      </c>
      <c r="J52" s="5">
        <v>462201.67</v>
      </c>
      <c r="K52" s="5">
        <v>504220</v>
      </c>
      <c r="L52" s="5">
        <v>263144</v>
      </c>
      <c r="M52" s="5">
        <v>241228</v>
      </c>
      <c r="N52" s="5">
        <v>20102.34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v>1490896.01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s="41" customFormat="1" ht="124.5" customHeight="1" outlineLevel="2">
      <c r="A53" s="11" t="s">
        <v>34</v>
      </c>
      <c r="B53" s="1" t="s">
        <v>87</v>
      </c>
      <c r="C53" s="48" t="s">
        <v>11</v>
      </c>
      <c r="D53" s="3">
        <v>2011</v>
      </c>
      <c r="E53" s="4">
        <v>2012</v>
      </c>
      <c r="F53" s="4">
        <v>900</v>
      </c>
      <c r="G53" s="4">
        <v>90013</v>
      </c>
      <c r="H53" s="5">
        <f>SUM(I53:R53)</f>
        <v>57162.5</v>
      </c>
      <c r="I53" s="5">
        <v>17162.5</v>
      </c>
      <c r="J53" s="5">
        <v>40000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v>40000</v>
      </c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s="41" customFormat="1" ht="124.5" customHeight="1" outlineLevel="2">
      <c r="A54" s="11" t="s">
        <v>35</v>
      </c>
      <c r="B54" s="59" t="s">
        <v>125</v>
      </c>
      <c r="C54" s="60" t="s">
        <v>11</v>
      </c>
      <c r="D54" s="61">
        <v>2012</v>
      </c>
      <c r="E54" s="17">
        <v>2013</v>
      </c>
      <c r="F54" s="17">
        <v>750</v>
      </c>
      <c r="G54" s="17">
        <v>75023</v>
      </c>
      <c r="H54" s="40">
        <f>SUM(I54:R54)</f>
        <v>5420</v>
      </c>
      <c r="I54" s="5">
        <v>0</v>
      </c>
      <c r="J54" s="5">
        <v>2710</v>
      </c>
      <c r="K54" s="5">
        <v>2710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v>2717.69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s="41" customFormat="1" ht="52.5" customHeight="1" outlineLevel="2">
      <c r="A55" s="11" t="s">
        <v>36</v>
      </c>
      <c r="B55" s="1" t="s">
        <v>79</v>
      </c>
      <c r="C55" s="48" t="s">
        <v>12</v>
      </c>
      <c r="D55" s="3">
        <v>2010</v>
      </c>
      <c r="E55" s="4">
        <v>2012</v>
      </c>
      <c r="F55" s="4">
        <v>852</v>
      </c>
      <c r="G55" s="4">
        <v>85219</v>
      </c>
      <c r="H55" s="5">
        <f>SUM(I55:R55)</f>
        <v>8157.460000000001</v>
      </c>
      <c r="I55" s="5">
        <f>336.48+3697.38</f>
        <v>4033.86</v>
      </c>
      <c r="J55" s="5">
        <v>4123.6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v>0</v>
      </c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s="37" customFormat="1" ht="76.5" customHeight="1" outlineLevel="2">
      <c r="A56" s="11" t="s">
        <v>37</v>
      </c>
      <c r="B56" s="1" t="s">
        <v>80</v>
      </c>
      <c r="C56" s="2" t="s">
        <v>12</v>
      </c>
      <c r="D56" s="3">
        <v>2011</v>
      </c>
      <c r="E56" s="4">
        <v>2012</v>
      </c>
      <c r="F56" s="4">
        <v>852</v>
      </c>
      <c r="G56" s="4">
        <v>85219</v>
      </c>
      <c r="H56" s="5">
        <f>SUM(I56:R56)</f>
        <v>2656.8</v>
      </c>
      <c r="I56" s="5">
        <v>1328.4</v>
      </c>
      <c r="J56" s="5">
        <v>1328.4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v>0</v>
      </c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s="41" customFormat="1" ht="47.25" customHeight="1" outlineLevel="2">
      <c r="A57" s="11" t="s">
        <v>38</v>
      </c>
      <c r="B57" s="1" t="s">
        <v>79</v>
      </c>
      <c r="C57" s="2" t="s">
        <v>12</v>
      </c>
      <c r="D57" s="3">
        <v>2011</v>
      </c>
      <c r="E57" s="4">
        <v>2013</v>
      </c>
      <c r="F57" s="4">
        <v>852</v>
      </c>
      <c r="G57" s="4">
        <v>85212</v>
      </c>
      <c r="H57" s="5">
        <f aca="true" t="shared" si="23" ref="H57:H73">SUM(I57:R57)</f>
        <v>3881.88</v>
      </c>
      <c r="I57" s="5">
        <v>594.09</v>
      </c>
      <c r="J57" s="5">
        <v>2248.44</v>
      </c>
      <c r="K57" s="5">
        <v>1039.35</v>
      </c>
      <c r="L57" s="5"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v>0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s="41" customFormat="1" ht="92.25" customHeight="1" outlineLevel="2">
      <c r="A58" s="11" t="s">
        <v>39</v>
      </c>
      <c r="B58" s="1" t="s">
        <v>99</v>
      </c>
      <c r="C58" s="48" t="s">
        <v>13</v>
      </c>
      <c r="D58" s="3">
        <v>2009</v>
      </c>
      <c r="E58" s="4">
        <v>2012</v>
      </c>
      <c r="F58" s="4">
        <v>600</v>
      </c>
      <c r="G58" s="4">
        <v>60004</v>
      </c>
      <c r="H58" s="5">
        <f t="shared" si="23"/>
        <v>24916667</v>
      </c>
      <c r="I58" s="5">
        <f>11916667+6500000</f>
        <v>18416667</v>
      </c>
      <c r="J58" s="5">
        <v>6500000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v>0</v>
      </c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s="41" customFormat="1" ht="64.5" customHeight="1" outlineLevel="2">
      <c r="A59" s="11" t="s">
        <v>40</v>
      </c>
      <c r="B59" s="1" t="s">
        <v>98</v>
      </c>
      <c r="C59" s="48" t="s">
        <v>15</v>
      </c>
      <c r="D59" s="3">
        <v>2010</v>
      </c>
      <c r="E59" s="4">
        <v>2012</v>
      </c>
      <c r="F59" s="4">
        <v>853</v>
      </c>
      <c r="G59" s="4">
        <v>85305</v>
      </c>
      <c r="H59" s="5">
        <f t="shared" si="23"/>
        <v>2412.63</v>
      </c>
      <c r="I59" s="5">
        <f>1060.63+1100</f>
        <v>2160.63</v>
      </c>
      <c r="J59" s="5">
        <v>252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v>0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s="41" customFormat="1" ht="77.25" customHeight="1" outlineLevel="2">
      <c r="A60" s="11" t="s">
        <v>41</v>
      </c>
      <c r="B60" s="1" t="s">
        <v>97</v>
      </c>
      <c r="C60" s="48" t="s">
        <v>16</v>
      </c>
      <c r="D60" s="3">
        <v>2009</v>
      </c>
      <c r="E60" s="4">
        <v>2012</v>
      </c>
      <c r="F60" s="4">
        <v>710</v>
      </c>
      <c r="G60" s="4">
        <v>71095</v>
      </c>
      <c r="H60" s="5">
        <f t="shared" si="23"/>
        <v>14096.5</v>
      </c>
      <c r="I60" s="5">
        <v>6814.9</v>
      </c>
      <c r="J60" s="5">
        <f>196.8+2164.8</f>
        <v>2361.6000000000004</v>
      </c>
      <c r="K60" s="5">
        <v>2361.6</v>
      </c>
      <c r="L60" s="5">
        <v>2361.6</v>
      </c>
      <c r="M60" s="5">
        <v>196.8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4">
        <v>9360.8</v>
      </c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s="41" customFormat="1" ht="64.5" customHeight="1" outlineLevel="2">
      <c r="A61" s="11" t="s">
        <v>42</v>
      </c>
      <c r="B61" s="1" t="s">
        <v>96</v>
      </c>
      <c r="C61" s="48" t="s">
        <v>16</v>
      </c>
      <c r="D61" s="3">
        <v>2011</v>
      </c>
      <c r="E61" s="4">
        <v>2012</v>
      </c>
      <c r="F61" s="4">
        <v>710</v>
      </c>
      <c r="G61" s="4">
        <v>71095</v>
      </c>
      <c r="H61" s="5">
        <f t="shared" si="23"/>
        <v>427.98</v>
      </c>
      <c r="I61" s="5">
        <f>186.48</f>
        <v>186.48</v>
      </c>
      <c r="J61" s="5">
        <v>241.5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v>241.5</v>
      </c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s="41" customFormat="1" ht="105.75" customHeight="1" outlineLevel="2">
      <c r="A62" s="11" t="s">
        <v>43</v>
      </c>
      <c r="B62" s="1" t="s">
        <v>95</v>
      </c>
      <c r="C62" s="2" t="s">
        <v>17</v>
      </c>
      <c r="D62" s="3">
        <v>2011</v>
      </c>
      <c r="E62" s="4">
        <v>2013</v>
      </c>
      <c r="F62" s="4">
        <v>852</v>
      </c>
      <c r="G62" s="4">
        <v>85202</v>
      </c>
      <c r="H62" s="5">
        <f>SUM(I62:R62)</f>
        <v>10000</v>
      </c>
      <c r="I62" s="5">
        <v>2700</v>
      </c>
      <c r="J62" s="5">
        <v>5000</v>
      </c>
      <c r="K62" s="5">
        <v>2300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v>7300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s="41" customFormat="1" ht="78" customHeight="1" outlineLevel="2">
      <c r="A63" s="11" t="s">
        <v>44</v>
      </c>
      <c r="B63" s="1" t="s">
        <v>115</v>
      </c>
      <c r="C63" s="2" t="s">
        <v>17</v>
      </c>
      <c r="D63" s="3">
        <v>2012</v>
      </c>
      <c r="E63" s="4">
        <v>2014</v>
      </c>
      <c r="F63" s="4">
        <v>852</v>
      </c>
      <c r="G63" s="4">
        <v>85202</v>
      </c>
      <c r="H63" s="5">
        <f t="shared" si="23"/>
        <v>3600</v>
      </c>
      <c r="I63" s="5">
        <v>0</v>
      </c>
      <c r="J63" s="5">
        <v>300</v>
      </c>
      <c r="K63" s="5">
        <v>1800</v>
      </c>
      <c r="L63" s="5">
        <v>1500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3600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s="41" customFormat="1" ht="66.75" customHeight="1" outlineLevel="2">
      <c r="A64" s="11" t="s">
        <v>45</v>
      </c>
      <c r="B64" s="1" t="s">
        <v>94</v>
      </c>
      <c r="C64" s="2" t="s">
        <v>18</v>
      </c>
      <c r="D64" s="3">
        <v>2009</v>
      </c>
      <c r="E64" s="4">
        <v>2014</v>
      </c>
      <c r="F64" s="4">
        <v>754</v>
      </c>
      <c r="G64" s="4">
        <v>75411</v>
      </c>
      <c r="H64" s="5">
        <f>SUM(I64:R64)</f>
        <v>60000</v>
      </c>
      <c r="I64" s="5">
        <f>4473+7471.32+10500</f>
        <v>22444.32</v>
      </c>
      <c r="J64" s="5">
        <v>15000</v>
      </c>
      <c r="K64" s="5">
        <v>15000</v>
      </c>
      <c r="L64" s="56">
        <v>7555.68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v>0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68" s="41" customFormat="1" ht="51.75" customHeight="1" outlineLevel="2">
      <c r="A65" s="11" t="s">
        <v>46</v>
      </c>
      <c r="B65" s="1" t="s">
        <v>93</v>
      </c>
      <c r="C65" s="48" t="s">
        <v>19</v>
      </c>
      <c r="D65" s="3">
        <v>2010</v>
      </c>
      <c r="E65" s="4">
        <v>2012</v>
      </c>
      <c r="F65" s="4">
        <v>801</v>
      </c>
      <c r="G65" s="4">
        <v>80130</v>
      </c>
      <c r="H65" s="5">
        <f t="shared" si="23"/>
        <v>2621.0499999999997</v>
      </c>
      <c r="I65" s="5">
        <v>2073.7</v>
      </c>
      <c r="J65" s="5">
        <v>547.35</v>
      </c>
      <c r="K65" s="5"/>
      <c r="L65" s="5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0</v>
      </c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</row>
    <row r="66" spans="1:68" s="41" customFormat="1" ht="76.5" customHeight="1" outlineLevel="2">
      <c r="A66" s="11" t="s">
        <v>47</v>
      </c>
      <c r="B66" s="1" t="s">
        <v>92</v>
      </c>
      <c r="C66" s="48" t="s">
        <v>20</v>
      </c>
      <c r="D66" s="3">
        <v>2010</v>
      </c>
      <c r="E66" s="4">
        <v>2012</v>
      </c>
      <c r="F66" s="4">
        <v>801</v>
      </c>
      <c r="G66" s="4">
        <v>80130</v>
      </c>
      <c r="H66" s="5">
        <f t="shared" si="23"/>
        <v>7659.6</v>
      </c>
      <c r="I66" s="5">
        <f>1903.2+3837.6</f>
        <v>5740.8</v>
      </c>
      <c r="J66" s="5">
        <v>1918.8</v>
      </c>
      <c r="K66" s="5"/>
      <c r="L66" s="5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>
        <v>1918.8</v>
      </c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</row>
    <row r="67" spans="1:68" s="41" customFormat="1" ht="65.25" customHeight="1" outlineLevel="2">
      <c r="A67" s="11" t="s">
        <v>48</v>
      </c>
      <c r="B67" s="1" t="s">
        <v>91</v>
      </c>
      <c r="C67" s="57" t="s">
        <v>21</v>
      </c>
      <c r="D67" s="3">
        <v>2003</v>
      </c>
      <c r="E67" s="4">
        <v>2016</v>
      </c>
      <c r="F67" s="4">
        <v>801</v>
      </c>
      <c r="G67" s="4">
        <v>80130</v>
      </c>
      <c r="H67" s="5">
        <f t="shared" si="23"/>
        <v>10284</v>
      </c>
      <c r="I67" s="5">
        <f>5124+732+738</f>
        <v>6594</v>
      </c>
      <c r="J67" s="5">
        <v>738</v>
      </c>
      <c r="K67" s="5">
        <v>738</v>
      </c>
      <c r="L67" s="5">
        <v>738</v>
      </c>
      <c r="M67" s="5">
        <v>738</v>
      </c>
      <c r="N67" s="5">
        <v>738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>
        <v>3690</v>
      </c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</row>
    <row r="68" spans="1:68" s="41" customFormat="1" ht="107.25" customHeight="1" outlineLevel="2">
      <c r="A68" s="11" t="s">
        <v>49</v>
      </c>
      <c r="B68" s="1" t="s">
        <v>116</v>
      </c>
      <c r="C68" s="2" t="s">
        <v>114</v>
      </c>
      <c r="D68" s="3">
        <v>2011</v>
      </c>
      <c r="E68" s="4">
        <v>2013</v>
      </c>
      <c r="F68" s="4">
        <v>852</v>
      </c>
      <c r="G68" s="4">
        <v>85201</v>
      </c>
      <c r="H68" s="5">
        <f t="shared" si="23"/>
        <v>1416</v>
      </c>
      <c r="I68" s="5">
        <v>70.8</v>
      </c>
      <c r="J68" s="5">
        <v>708</v>
      </c>
      <c r="K68" s="5">
        <v>637.2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v>0</v>
      </c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s="41" customFormat="1" ht="66" customHeight="1" outlineLevel="2">
      <c r="A69" s="11" t="s">
        <v>50</v>
      </c>
      <c r="B69" s="7" t="s">
        <v>90</v>
      </c>
      <c r="C69" s="48" t="s">
        <v>22</v>
      </c>
      <c r="D69" s="3">
        <v>2010</v>
      </c>
      <c r="E69" s="4">
        <v>2012</v>
      </c>
      <c r="F69" s="4">
        <v>852</v>
      </c>
      <c r="G69" s="4">
        <v>85201</v>
      </c>
      <c r="H69" s="5">
        <f t="shared" si="23"/>
        <v>2332.58</v>
      </c>
      <c r="I69" s="5">
        <f>1045.91+1166.04</f>
        <v>2211.95</v>
      </c>
      <c r="J69" s="5">
        <v>120.63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>
        <v>0</v>
      </c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</row>
    <row r="70" spans="1:68" s="41" customFormat="1" ht="75" customHeight="1" outlineLevel="2">
      <c r="A70" s="11" t="s">
        <v>51</v>
      </c>
      <c r="B70" s="7" t="s">
        <v>89</v>
      </c>
      <c r="C70" s="48" t="s">
        <v>23</v>
      </c>
      <c r="D70" s="3">
        <v>2010</v>
      </c>
      <c r="E70" s="4">
        <v>2012</v>
      </c>
      <c r="F70" s="4">
        <v>801</v>
      </c>
      <c r="G70" s="4">
        <v>80102</v>
      </c>
      <c r="H70" s="5">
        <f t="shared" si="23"/>
        <v>1353.2</v>
      </c>
      <c r="I70" s="5">
        <f>438.08+457.56</f>
        <v>895.64</v>
      </c>
      <c r="J70" s="5">
        <v>457.56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457.56</v>
      </c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</row>
    <row r="71" spans="1:68" s="41" customFormat="1" ht="77.25" customHeight="1" outlineLevel="2">
      <c r="A71" s="11" t="s">
        <v>52</v>
      </c>
      <c r="B71" s="7" t="s">
        <v>89</v>
      </c>
      <c r="C71" s="48" t="s">
        <v>23</v>
      </c>
      <c r="D71" s="3">
        <v>2010</v>
      </c>
      <c r="E71" s="4">
        <v>2012</v>
      </c>
      <c r="F71" s="4">
        <v>801</v>
      </c>
      <c r="G71" s="4">
        <v>80111</v>
      </c>
      <c r="H71" s="5">
        <f t="shared" si="23"/>
        <v>1130.22</v>
      </c>
      <c r="I71" s="5">
        <f>215.1+457.56</f>
        <v>672.66</v>
      </c>
      <c r="J71" s="5">
        <v>457.56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>
        <v>457.56</v>
      </c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 s="41" customFormat="1" ht="78.75" customHeight="1" outlineLevel="2">
      <c r="A72" s="11" t="s">
        <v>53</v>
      </c>
      <c r="B72" s="7" t="s">
        <v>89</v>
      </c>
      <c r="C72" s="48" t="s">
        <v>23</v>
      </c>
      <c r="D72" s="3">
        <v>2010</v>
      </c>
      <c r="E72" s="4">
        <v>2012</v>
      </c>
      <c r="F72" s="4">
        <v>854</v>
      </c>
      <c r="G72" s="4">
        <v>85403</v>
      </c>
      <c r="H72" s="5">
        <f>SUM(I72:R72)</f>
        <v>2172.36</v>
      </c>
      <c r="I72" s="5">
        <f>647.16+915.12</f>
        <v>1562.28</v>
      </c>
      <c r="J72" s="5">
        <v>610.08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v>610.08</v>
      </c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68" s="41" customFormat="1" ht="93" customHeight="1" outlineLevel="2">
      <c r="A73" s="62" t="s">
        <v>126</v>
      </c>
      <c r="B73" s="7" t="s">
        <v>128</v>
      </c>
      <c r="C73" s="48" t="s">
        <v>11</v>
      </c>
      <c r="D73" s="3">
        <v>2011</v>
      </c>
      <c r="E73" s="4">
        <v>2012</v>
      </c>
      <c r="F73" s="4">
        <v>900</v>
      </c>
      <c r="G73" s="4">
        <v>90001</v>
      </c>
      <c r="H73" s="5">
        <f t="shared" si="23"/>
        <v>101000</v>
      </c>
      <c r="I73" s="5">
        <v>1000</v>
      </c>
      <c r="J73" s="5">
        <v>100000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v>101000</v>
      </c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</row>
    <row r="74" spans="1:68" ht="16.5" customHeight="1" outlineLevel="1">
      <c r="A74" s="12"/>
      <c r="B74" s="98" t="s">
        <v>65</v>
      </c>
      <c r="C74" s="99"/>
      <c r="D74" s="99"/>
      <c r="E74" s="99"/>
      <c r="F74" s="99"/>
      <c r="G74" s="100"/>
      <c r="H74" s="14">
        <v>0</v>
      </c>
      <c r="I74" s="14"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>
        <v>0</v>
      </c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</row>
    <row r="75" spans="1:29" ht="31.5" customHeight="1">
      <c r="A75" s="12" t="s">
        <v>78</v>
      </c>
      <c r="B75" s="103" t="s">
        <v>71</v>
      </c>
      <c r="C75" s="104"/>
      <c r="D75" s="104"/>
      <c r="E75" s="104"/>
      <c r="F75" s="104"/>
      <c r="G75" s="105"/>
      <c r="H75" s="14">
        <v>0</v>
      </c>
      <c r="I75" s="14">
        <v>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>
        <v>0</v>
      </c>
    </row>
    <row r="76" spans="1:29" ht="16.5" customHeight="1" hidden="1" outlineLevel="1" collapsed="1">
      <c r="A76" s="12"/>
      <c r="B76" s="98" t="s">
        <v>64</v>
      </c>
      <c r="C76" s="99"/>
      <c r="D76" s="99"/>
      <c r="E76" s="99"/>
      <c r="F76" s="99"/>
      <c r="G76" s="100"/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>
        <v>0</v>
      </c>
    </row>
    <row r="77" spans="1:29" s="18" customFormat="1" ht="15" customHeight="1" hidden="1" outlineLevel="2">
      <c r="A77" s="11"/>
      <c r="B77" s="17" t="s">
        <v>9</v>
      </c>
      <c r="C77" s="30"/>
      <c r="D77" s="16"/>
      <c r="E77" s="17"/>
      <c r="F77" s="106" t="s">
        <v>0</v>
      </c>
      <c r="G77" s="107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s="18" customFormat="1" ht="15" customHeight="1" hidden="1" outlineLevel="2">
      <c r="A78" s="11"/>
      <c r="B78" s="31" t="s">
        <v>10</v>
      </c>
      <c r="C78" s="108"/>
      <c r="D78" s="16"/>
      <c r="E78" s="17"/>
      <c r="F78" s="106" t="s">
        <v>0</v>
      </c>
      <c r="G78" s="107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5.75" customHeight="1" hidden="1" outlineLevel="2">
      <c r="A79" s="12"/>
      <c r="B79" s="32"/>
      <c r="C79" s="109"/>
      <c r="D79" s="33"/>
      <c r="E79" s="34"/>
      <c r="F79" s="35"/>
      <c r="G79" s="35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15" customHeight="1" collapsed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</row>
    <row r="81" spans="1:29" ht="1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1:29" ht="33.7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:29" ht="1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:29" ht="1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:29" ht="1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:29" ht="1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1:29" ht="1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1:29" ht="1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1:29" ht="1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1:29" ht="1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</row>
    <row r="91" spans="1:29" ht="14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</sheetData>
  <sheetProtection/>
  <mergeCells count="46">
    <mergeCell ref="A90:AC90"/>
    <mergeCell ref="A91:AC91"/>
    <mergeCell ref="A84:AC84"/>
    <mergeCell ref="A85:AC85"/>
    <mergeCell ref="A86:AC86"/>
    <mergeCell ref="A87:AC87"/>
    <mergeCell ref="A88:AC88"/>
    <mergeCell ref="A89:AC89"/>
    <mergeCell ref="B76:G76"/>
    <mergeCell ref="F77:G77"/>
    <mergeCell ref="C78:C79"/>
    <mergeCell ref="F78:G78"/>
    <mergeCell ref="A82:AC82"/>
    <mergeCell ref="A83:AC83"/>
    <mergeCell ref="A80:AC80"/>
    <mergeCell ref="A81:AC81"/>
    <mergeCell ref="B27:G27"/>
    <mergeCell ref="B28:G28"/>
    <mergeCell ref="B29:G29"/>
    <mergeCell ref="B32:G32"/>
    <mergeCell ref="B41:G41"/>
    <mergeCell ref="B42:G42"/>
    <mergeCell ref="B74:G74"/>
    <mergeCell ref="B75:G75"/>
    <mergeCell ref="B15:G15"/>
    <mergeCell ref="B16:G16"/>
    <mergeCell ref="B17:G17"/>
    <mergeCell ref="B19:G19"/>
    <mergeCell ref="B25:G25"/>
    <mergeCell ref="B26:G26"/>
    <mergeCell ref="B10:G10"/>
    <mergeCell ref="B11:G11"/>
    <mergeCell ref="B12:G12"/>
    <mergeCell ref="J7:AB7"/>
    <mergeCell ref="B13:G13"/>
    <mergeCell ref="B14:G14"/>
    <mergeCell ref="A5:AC5"/>
    <mergeCell ref="I4:J4"/>
    <mergeCell ref="A7:A8"/>
    <mergeCell ref="B7:B8"/>
    <mergeCell ref="C7:C8"/>
    <mergeCell ref="D7:E7"/>
    <mergeCell ref="F7:G7"/>
    <mergeCell ref="H7:H8"/>
    <mergeCell ref="I7:I8"/>
    <mergeCell ref="AC7:AC8"/>
  </mergeCells>
  <printOptions/>
  <pageMargins left="0" right="0" top="0.5905511811023623" bottom="0.5905511811023623" header="0.31496062992125984" footer="0.31496062992125984"/>
  <pageSetup horizontalDpi="600" verticalDpi="600" orientation="landscape" paperSize="9" scale="47" r:id="rId3"/>
  <headerFoot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90"/>
  <sheetViews>
    <sheetView zoomScalePageLayoutView="0" workbookViewId="0" topLeftCell="A69">
      <selection activeCell="A73" sqref="A73:IV73"/>
    </sheetView>
  </sheetViews>
  <sheetFormatPr defaultColWidth="8.796875" defaultRowHeight="14.25" outlineLevelRow="2"/>
  <cols>
    <col min="1" max="1" width="3.3984375" style="13" customWidth="1"/>
    <col min="2" max="2" width="29.59765625" style="29" customWidth="1"/>
    <col min="3" max="3" width="16.59765625" style="36" customWidth="1"/>
    <col min="4" max="5" width="5.09765625" style="29" customWidth="1"/>
    <col min="6" max="6" width="4.5" style="29" customWidth="1"/>
    <col min="7" max="7" width="6" style="29" customWidth="1"/>
    <col min="8" max="8" width="12.19921875" style="29" customWidth="1"/>
    <col min="9" max="9" width="11.5" style="29" customWidth="1"/>
    <col min="10" max="11" width="12.59765625" style="29" customWidth="1"/>
    <col min="12" max="12" width="11.59765625" style="29" customWidth="1"/>
    <col min="13" max="13" width="11" style="29" customWidth="1"/>
    <col min="14" max="14" width="9.3984375" style="29" customWidth="1"/>
    <col min="15" max="15" width="9.59765625" style="29" customWidth="1"/>
    <col min="16" max="16" width="8.09765625" style="29" customWidth="1"/>
    <col min="17" max="17" width="9.09765625" style="29" customWidth="1"/>
    <col min="18" max="18" width="8.09765625" style="29" customWidth="1"/>
    <col min="19" max="19" width="9.19921875" style="29" customWidth="1"/>
    <col min="20" max="20" width="8.09765625" style="29" customWidth="1"/>
    <col min="21" max="21" width="8.5" style="29" customWidth="1"/>
    <col min="22" max="22" width="8.59765625" style="29" customWidth="1"/>
    <col min="23" max="23" width="9" style="29" customWidth="1"/>
    <col min="24" max="24" width="8.3984375" style="29" customWidth="1"/>
    <col min="25" max="25" width="8.19921875" style="29" customWidth="1"/>
    <col min="26" max="26" width="8.09765625" style="29" customWidth="1"/>
    <col min="27" max="27" width="8.3984375" style="29" customWidth="1"/>
    <col min="28" max="28" width="6.09765625" style="29" customWidth="1"/>
    <col min="29" max="29" width="12.3984375" style="29" customWidth="1"/>
    <col min="30" max="16384" width="9" style="29" customWidth="1"/>
  </cols>
  <sheetData>
    <row r="1" spans="1:36" s="20" customFormat="1" ht="15" customHeight="1">
      <c r="A1" s="8"/>
      <c r="C1" s="19"/>
      <c r="J1" s="21"/>
      <c r="Y1" s="22" t="s">
        <v>82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6" s="20" customFormat="1" ht="14.25">
      <c r="A2" s="8"/>
      <c r="C2" s="19"/>
      <c r="Y2" s="22" t="s">
        <v>120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7" s="20" customFormat="1" ht="14.25">
      <c r="A3" s="8"/>
      <c r="C3" s="19"/>
      <c r="Y3" s="58" t="s">
        <v>81</v>
      </c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6" s="20" customFormat="1" ht="14.25">
      <c r="A4" s="8"/>
      <c r="C4" s="19"/>
      <c r="I4" s="64"/>
      <c r="J4" s="64"/>
      <c r="L4" s="23"/>
      <c r="Y4" s="22" t="s">
        <v>121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</row>
    <row r="5" spans="1:29" s="20" customFormat="1" ht="33" customHeight="1">
      <c r="A5" s="63" t="s">
        <v>124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3" s="20" customFormat="1" ht="12">
      <c r="A6" s="8"/>
      <c r="C6" s="19"/>
    </row>
    <row r="7" spans="1:29" s="20" customFormat="1" ht="93" customHeight="1">
      <c r="A7" s="117" t="s">
        <v>1</v>
      </c>
      <c r="B7" s="119" t="s">
        <v>55</v>
      </c>
      <c r="C7" s="120" t="s">
        <v>2</v>
      </c>
      <c r="D7" s="117" t="s">
        <v>74</v>
      </c>
      <c r="E7" s="117"/>
      <c r="F7" s="121" t="s">
        <v>54</v>
      </c>
      <c r="G7" s="121"/>
      <c r="H7" s="120" t="s">
        <v>3</v>
      </c>
      <c r="I7" s="73" t="s">
        <v>4</v>
      </c>
      <c r="J7" s="83" t="s">
        <v>5</v>
      </c>
      <c r="K7" s="84"/>
      <c r="L7" s="84"/>
      <c r="M7" s="84"/>
      <c r="N7" s="84"/>
      <c r="O7" s="84"/>
      <c r="P7" s="84"/>
      <c r="Q7" s="84"/>
      <c r="R7" s="84"/>
      <c r="S7" s="84"/>
      <c r="T7" s="122"/>
      <c r="U7" s="122"/>
      <c r="V7" s="122"/>
      <c r="W7" s="122"/>
      <c r="X7" s="122"/>
      <c r="Y7" s="122"/>
      <c r="Z7" s="122"/>
      <c r="AA7" s="122"/>
      <c r="AB7" s="123"/>
      <c r="AC7" s="72" t="s">
        <v>6</v>
      </c>
    </row>
    <row r="8" spans="1:29" s="20" customFormat="1" ht="18.75" customHeight="1">
      <c r="A8" s="117"/>
      <c r="B8" s="119"/>
      <c r="C8" s="120"/>
      <c r="D8" s="38" t="s">
        <v>72</v>
      </c>
      <c r="E8" s="38" t="s">
        <v>73</v>
      </c>
      <c r="F8" s="24" t="s">
        <v>7</v>
      </c>
      <c r="G8" s="24" t="s">
        <v>8</v>
      </c>
      <c r="H8" s="120"/>
      <c r="I8" s="121"/>
      <c r="J8" s="43">
        <v>2012</v>
      </c>
      <c r="K8" s="43">
        <v>2013</v>
      </c>
      <c r="L8" s="43">
        <v>2014</v>
      </c>
      <c r="M8" s="43">
        <v>2015</v>
      </c>
      <c r="N8" s="43">
        <v>2016</v>
      </c>
      <c r="O8" s="43">
        <v>2017</v>
      </c>
      <c r="P8" s="43">
        <v>2018</v>
      </c>
      <c r="Q8" s="43">
        <v>2019</v>
      </c>
      <c r="R8" s="43">
        <v>2020</v>
      </c>
      <c r="S8" s="43">
        <v>2021</v>
      </c>
      <c r="T8" s="43">
        <v>2022</v>
      </c>
      <c r="U8" s="43">
        <v>2023</v>
      </c>
      <c r="V8" s="43">
        <v>2024</v>
      </c>
      <c r="W8" s="43">
        <v>2025</v>
      </c>
      <c r="X8" s="43">
        <v>2026</v>
      </c>
      <c r="Y8" s="43">
        <v>2027</v>
      </c>
      <c r="Z8" s="43">
        <v>2028</v>
      </c>
      <c r="AA8" s="43">
        <v>2029</v>
      </c>
      <c r="AB8" s="43">
        <v>2030</v>
      </c>
      <c r="AC8" s="117"/>
    </row>
    <row r="9" spans="1:29" s="39" customFormat="1" ht="12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38">
        <v>22</v>
      </c>
      <c r="W9" s="38">
        <v>23</v>
      </c>
      <c r="X9" s="38">
        <v>24</v>
      </c>
      <c r="Y9" s="38">
        <v>25</v>
      </c>
      <c r="Z9" s="38">
        <v>26</v>
      </c>
      <c r="AA9" s="38">
        <v>27</v>
      </c>
      <c r="AB9" s="38">
        <v>28</v>
      </c>
      <c r="AC9" s="38">
        <v>29</v>
      </c>
    </row>
    <row r="10" spans="1:68" s="26" customFormat="1" ht="27.75" customHeight="1">
      <c r="A10" s="9"/>
      <c r="B10" s="77" t="s">
        <v>67</v>
      </c>
      <c r="C10" s="78"/>
      <c r="D10" s="78"/>
      <c r="E10" s="78"/>
      <c r="F10" s="78"/>
      <c r="G10" s="79"/>
      <c r="H10" s="25">
        <f>SUM(H11:H12)</f>
        <v>336268874.5100001</v>
      </c>
      <c r="I10" s="25">
        <f aca="true" t="shared" si="0" ref="I10:R10">SUM(I11:I12)</f>
        <v>51686207.89</v>
      </c>
      <c r="J10" s="25">
        <f>SUM(J11:J12)</f>
        <v>162236533.83</v>
      </c>
      <c r="K10" s="25">
        <f>SUM(K11:K12)</f>
        <v>107340937.24</v>
      </c>
      <c r="L10" s="25">
        <f t="shared" si="0"/>
        <v>12521389.569999998</v>
      </c>
      <c r="M10" s="25">
        <f t="shared" si="0"/>
        <v>1777917.3900000001</v>
      </c>
      <c r="N10" s="25">
        <f t="shared" si="0"/>
        <v>121149.93</v>
      </c>
      <c r="O10" s="25">
        <f t="shared" si="0"/>
        <v>100269.59</v>
      </c>
      <c r="P10" s="25">
        <f t="shared" si="0"/>
        <v>99913.59</v>
      </c>
      <c r="Q10" s="25">
        <f t="shared" si="0"/>
        <v>99860.59</v>
      </c>
      <c r="R10" s="25">
        <f t="shared" si="0"/>
        <v>28504.29</v>
      </c>
      <c r="S10" s="25">
        <f>SUM(S11:S12)</f>
        <v>28419.4</v>
      </c>
      <c r="T10" s="25">
        <f aca="true" t="shared" si="1" ref="T10:AC10">SUM(T11:T12)</f>
        <v>28419.4</v>
      </c>
      <c r="U10" s="25">
        <f t="shared" si="1"/>
        <v>28419.4</v>
      </c>
      <c r="V10" s="25">
        <f t="shared" si="1"/>
        <v>28419.4</v>
      </c>
      <c r="W10" s="25">
        <f t="shared" si="1"/>
        <v>28419.4</v>
      </c>
      <c r="X10" s="25">
        <f t="shared" si="1"/>
        <v>28419.4</v>
      </c>
      <c r="Y10" s="25">
        <f t="shared" si="1"/>
        <v>28419.4</v>
      </c>
      <c r="Z10" s="25">
        <f t="shared" si="1"/>
        <v>28419.4</v>
      </c>
      <c r="AA10" s="25">
        <f t="shared" si="1"/>
        <v>28419.4</v>
      </c>
      <c r="AB10" s="25">
        <f t="shared" si="1"/>
        <v>416</v>
      </c>
      <c r="AC10" s="25">
        <f t="shared" si="1"/>
        <v>256449338.31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</row>
    <row r="11" spans="1:68" s="27" customFormat="1" ht="21" customHeight="1">
      <c r="A11" s="10"/>
      <c r="B11" s="118" t="s">
        <v>58</v>
      </c>
      <c r="C11" s="118"/>
      <c r="D11" s="118"/>
      <c r="E11" s="118"/>
      <c r="F11" s="118"/>
      <c r="G11" s="118"/>
      <c r="H11" s="14">
        <f aca="true" t="shared" si="2" ref="H11:AB11">H14+H41</f>
        <v>28611332.909999996</v>
      </c>
      <c r="I11" s="14">
        <f t="shared" si="2"/>
        <v>19463479.48</v>
      </c>
      <c r="J11" s="14">
        <f>J14+J41</f>
        <v>7580243.489999998</v>
      </c>
      <c r="K11" s="14">
        <f t="shared" si="2"/>
        <v>571665.4199999999</v>
      </c>
      <c r="L11" s="14">
        <f t="shared" si="2"/>
        <v>304283.54</v>
      </c>
      <c r="M11" s="14">
        <f t="shared" si="2"/>
        <v>271132.39</v>
      </c>
      <c r="N11" s="14">
        <f t="shared" si="2"/>
        <v>49809.93</v>
      </c>
      <c r="O11" s="14">
        <f t="shared" si="2"/>
        <v>28929.59</v>
      </c>
      <c r="P11" s="14">
        <f t="shared" si="2"/>
        <v>28573.59</v>
      </c>
      <c r="Q11" s="14">
        <f t="shared" si="2"/>
        <v>28520.59</v>
      </c>
      <c r="R11" s="14">
        <f t="shared" si="2"/>
        <v>28504.29</v>
      </c>
      <c r="S11" s="14">
        <f t="shared" si="2"/>
        <v>28419.4</v>
      </c>
      <c r="T11" s="14">
        <f t="shared" si="2"/>
        <v>28419.4</v>
      </c>
      <c r="U11" s="14">
        <f t="shared" si="2"/>
        <v>28419.4</v>
      </c>
      <c r="V11" s="14">
        <f t="shared" si="2"/>
        <v>28419.4</v>
      </c>
      <c r="W11" s="14">
        <f t="shared" si="2"/>
        <v>28419.4</v>
      </c>
      <c r="X11" s="14">
        <f t="shared" si="2"/>
        <v>28419.4</v>
      </c>
      <c r="Y11" s="14">
        <f t="shared" si="2"/>
        <v>28419.4</v>
      </c>
      <c r="Z11" s="14">
        <f t="shared" si="2"/>
        <v>28419.4</v>
      </c>
      <c r="AA11" s="14">
        <f t="shared" si="2"/>
        <v>28419.4</v>
      </c>
      <c r="AB11" s="14">
        <f t="shared" si="2"/>
        <v>416</v>
      </c>
      <c r="AC11" s="14">
        <f>AC14+AC41</f>
        <v>2086502.6700000002</v>
      </c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</row>
    <row r="12" spans="1:68" s="27" customFormat="1" ht="21" customHeight="1">
      <c r="A12" s="10"/>
      <c r="B12" s="118" t="s">
        <v>59</v>
      </c>
      <c r="C12" s="118"/>
      <c r="D12" s="118"/>
      <c r="E12" s="118"/>
      <c r="F12" s="118"/>
      <c r="G12" s="118"/>
      <c r="H12" s="14">
        <f>H15</f>
        <v>307657541.6000001</v>
      </c>
      <c r="I12" s="14">
        <f aca="true" t="shared" si="3" ref="I12:AB12">I15</f>
        <v>32222728.41</v>
      </c>
      <c r="J12" s="14">
        <f>J15</f>
        <v>154656290.34</v>
      </c>
      <c r="K12" s="14">
        <f t="shared" si="3"/>
        <v>106769271.82</v>
      </c>
      <c r="L12" s="14">
        <f t="shared" si="3"/>
        <v>12217106.03</v>
      </c>
      <c r="M12" s="14">
        <f t="shared" si="3"/>
        <v>1506785</v>
      </c>
      <c r="N12" s="14">
        <f t="shared" si="3"/>
        <v>71340</v>
      </c>
      <c r="O12" s="14">
        <f t="shared" si="3"/>
        <v>71340</v>
      </c>
      <c r="P12" s="14">
        <f t="shared" si="3"/>
        <v>71340</v>
      </c>
      <c r="Q12" s="14">
        <f t="shared" si="3"/>
        <v>71340</v>
      </c>
      <c r="R12" s="14">
        <f t="shared" si="3"/>
        <v>0</v>
      </c>
      <c r="S12" s="14">
        <f t="shared" si="3"/>
        <v>0</v>
      </c>
      <c r="T12" s="14">
        <f t="shared" si="3"/>
        <v>0</v>
      </c>
      <c r="U12" s="14">
        <f t="shared" si="3"/>
        <v>0</v>
      </c>
      <c r="V12" s="14">
        <f t="shared" si="3"/>
        <v>0</v>
      </c>
      <c r="W12" s="14">
        <f t="shared" si="3"/>
        <v>0</v>
      </c>
      <c r="X12" s="14">
        <f t="shared" si="3"/>
        <v>0</v>
      </c>
      <c r="Y12" s="14">
        <f t="shared" si="3"/>
        <v>0</v>
      </c>
      <c r="Z12" s="14">
        <f t="shared" si="3"/>
        <v>0</v>
      </c>
      <c r="AA12" s="14">
        <f t="shared" si="3"/>
        <v>0</v>
      </c>
      <c r="AB12" s="14">
        <f t="shared" si="3"/>
        <v>0</v>
      </c>
      <c r="AC12" s="14">
        <f>AC15</f>
        <v>254362835.64000002</v>
      </c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</row>
    <row r="13" spans="1:68" s="27" customFormat="1" ht="19.5" customHeight="1">
      <c r="A13" s="10" t="s">
        <v>75</v>
      </c>
      <c r="B13" s="115" t="s">
        <v>57</v>
      </c>
      <c r="C13" s="115"/>
      <c r="D13" s="115"/>
      <c r="E13" s="115"/>
      <c r="F13" s="115"/>
      <c r="G13" s="115"/>
      <c r="H13" s="14">
        <f aca="true" t="shared" si="4" ref="H13:R13">SUM(H14:H15)</f>
        <v>308367120.94000006</v>
      </c>
      <c r="I13" s="14">
        <f t="shared" si="4"/>
        <v>32365142.55</v>
      </c>
      <c r="J13" s="14">
        <f>SUM(J14:J15)</f>
        <v>154739909.74</v>
      </c>
      <c r="K13" s="14">
        <f>SUM(K14:K15)</f>
        <v>106797691.22</v>
      </c>
      <c r="L13" s="14">
        <f t="shared" si="4"/>
        <v>12245525.43</v>
      </c>
      <c r="M13" s="14">
        <f t="shared" si="4"/>
        <v>1535204.4</v>
      </c>
      <c r="N13" s="14">
        <f t="shared" si="4"/>
        <v>99759.4</v>
      </c>
      <c r="O13" s="14">
        <f t="shared" si="4"/>
        <v>99759.4</v>
      </c>
      <c r="P13" s="14">
        <f t="shared" si="4"/>
        <v>99759.4</v>
      </c>
      <c r="Q13" s="14">
        <f t="shared" si="4"/>
        <v>99759.4</v>
      </c>
      <c r="R13" s="14">
        <f t="shared" si="4"/>
        <v>28419.4</v>
      </c>
      <c r="S13" s="14">
        <f>SUM(S14:S15)</f>
        <v>28419.4</v>
      </c>
      <c r="T13" s="14">
        <f aca="true" t="shared" si="5" ref="T13:AC13">SUM(T14:T15)</f>
        <v>28419.4</v>
      </c>
      <c r="U13" s="14">
        <f t="shared" si="5"/>
        <v>28419.4</v>
      </c>
      <c r="V13" s="14">
        <f t="shared" si="5"/>
        <v>28419.4</v>
      </c>
      <c r="W13" s="14">
        <f t="shared" si="5"/>
        <v>28419.4</v>
      </c>
      <c r="X13" s="14">
        <f t="shared" si="5"/>
        <v>28419.4</v>
      </c>
      <c r="Y13" s="14">
        <f t="shared" si="5"/>
        <v>28419.4</v>
      </c>
      <c r="Z13" s="14">
        <f t="shared" si="5"/>
        <v>28419.4</v>
      </c>
      <c r="AA13" s="14">
        <f t="shared" si="5"/>
        <v>28419.4</v>
      </c>
      <c r="AB13" s="14">
        <f t="shared" si="5"/>
        <v>416</v>
      </c>
      <c r="AC13" s="14">
        <f t="shared" si="5"/>
        <v>254418035.64000002</v>
      </c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</row>
    <row r="14" spans="1:68" s="27" customFormat="1" ht="16.5" customHeight="1">
      <c r="A14" s="10"/>
      <c r="B14" s="115" t="s">
        <v>58</v>
      </c>
      <c r="C14" s="115"/>
      <c r="D14" s="115"/>
      <c r="E14" s="115"/>
      <c r="F14" s="115"/>
      <c r="G14" s="115"/>
      <c r="H14" s="14">
        <f aca="true" t="shared" si="6" ref="H14:AB14">H17+H26+H29</f>
        <v>709579.3400000002</v>
      </c>
      <c r="I14" s="14">
        <f t="shared" si="6"/>
        <v>142414.14</v>
      </c>
      <c r="J14" s="14">
        <f>J17+J26+J29</f>
        <v>83619.4</v>
      </c>
      <c r="K14" s="14">
        <f t="shared" si="6"/>
        <v>28419.4</v>
      </c>
      <c r="L14" s="14">
        <f t="shared" si="6"/>
        <v>28419.4</v>
      </c>
      <c r="M14" s="14">
        <f t="shared" si="6"/>
        <v>28419.4</v>
      </c>
      <c r="N14" s="14">
        <f t="shared" si="6"/>
        <v>28419.4</v>
      </c>
      <c r="O14" s="14">
        <f t="shared" si="6"/>
        <v>28419.4</v>
      </c>
      <c r="P14" s="14">
        <f t="shared" si="6"/>
        <v>28419.4</v>
      </c>
      <c r="Q14" s="14">
        <f t="shared" si="6"/>
        <v>28419.4</v>
      </c>
      <c r="R14" s="14">
        <f t="shared" si="6"/>
        <v>28419.4</v>
      </c>
      <c r="S14" s="14">
        <f t="shared" si="6"/>
        <v>28419.4</v>
      </c>
      <c r="T14" s="14">
        <f t="shared" si="6"/>
        <v>28419.4</v>
      </c>
      <c r="U14" s="14">
        <f t="shared" si="6"/>
        <v>28419.4</v>
      </c>
      <c r="V14" s="14">
        <f t="shared" si="6"/>
        <v>28419.4</v>
      </c>
      <c r="W14" s="14">
        <f t="shared" si="6"/>
        <v>28419.4</v>
      </c>
      <c r="X14" s="14">
        <f t="shared" si="6"/>
        <v>28419.4</v>
      </c>
      <c r="Y14" s="14">
        <f t="shared" si="6"/>
        <v>28419.4</v>
      </c>
      <c r="Z14" s="14">
        <f t="shared" si="6"/>
        <v>28419.4</v>
      </c>
      <c r="AA14" s="14">
        <f t="shared" si="6"/>
        <v>28419.4</v>
      </c>
      <c r="AB14" s="14">
        <f t="shared" si="6"/>
        <v>416</v>
      </c>
      <c r="AC14" s="14">
        <f>AC17+AC26+AC29</f>
        <v>55200</v>
      </c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</row>
    <row r="15" spans="1:68" s="27" customFormat="1" ht="16.5" customHeight="1">
      <c r="A15" s="10"/>
      <c r="B15" s="115" t="s">
        <v>59</v>
      </c>
      <c r="C15" s="115"/>
      <c r="D15" s="115"/>
      <c r="E15" s="115"/>
      <c r="F15" s="115"/>
      <c r="G15" s="115"/>
      <c r="H15" s="14">
        <f aca="true" t="shared" si="7" ref="H15:AB15">H19+H27+H32</f>
        <v>307657541.6000001</v>
      </c>
      <c r="I15" s="14">
        <f>I19+I27+I32</f>
        <v>32222728.41</v>
      </c>
      <c r="J15" s="14">
        <f>J19+J27+J32</f>
        <v>154656290.34</v>
      </c>
      <c r="K15" s="14">
        <f t="shared" si="7"/>
        <v>106769271.82</v>
      </c>
      <c r="L15" s="14">
        <f t="shared" si="7"/>
        <v>12217106.03</v>
      </c>
      <c r="M15" s="14">
        <f t="shared" si="7"/>
        <v>1506785</v>
      </c>
      <c r="N15" s="14">
        <f t="shared" si="7"/>
        <v>71340</v>
      </c>
      <c r="O15" s="14">
        <f t="shared" si="7"/>
        <v>71340</v>
      </c>
      <c r="P15" s="14">
        <f t="shared" si="7"/>
        <v>71340</v>
      </c>
      <c r="Q15" s="14">
        <f t="shared" si="7"/>
        <v>71340</v>
      </c>
      <c r="R15" s="14">
        <f t="shared" si="7"/>
        <v>0</v>
      </c>
      <c r="S15" s="14">
        <f t="shared" si="7"/>
        <v>0</v>
      </c>
      <c r="T15" s="14">
        <f t="shared" si="7"/>
        <v>0</v>
      </c>
      <c r="U15" s="14">
        <f t="shared" si="7"/>
        <v>0</v>
      </c>
      <c r="V15" s="14">
        <f t="shared" si="7"/>
        <v>0</v>
      </c>
      <c r="W15" s="14">
        <f t="shared" si="7"/>
        <v>0</v>
      </c>
      <c r="X15" s="14">
        <f t="shared" si="7"/>
        <v>0</v>
      </c>
      <c r="Y15" s="14">
        <f t="shared" si="7"/>
        <v>0</v>
      </c>
      <c r="Z15" s="14">
        <f t="shared" si="7"/>
        <v>0</v>
      </c>
      <c r="AA15" s="14">
        <f t="shared" si="7"/>
        <v>0</v>
      </c>
      <c r="AB15" s="14">
        <f t="shared" si="7"/>
        <v>0</v>
      </c>
      <c r="AC15" s="14">
        <f>AC19+AC27+AC32</f>
        <v>254362835.64000002</v>
      </c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</row>
    <row r="16" spans="1:68" s="18" customFormat="1" ht="33.75" customHeight="1">
      <c r="A16" s="11" t="s">
        <v>56</v>
      </c>
      <c r="B16" s="89" t="s">
        <v>60</v>
      </c>
      <c r="C16" s="90"/>
      <c r="D16" s="90"/>
      <c r="E16" s="90"/>
      <c r="F16" s="90"/>
      <c r="G16" s="90"/>
      <c r="H16" s="14">
        <f>H17+H19</f>
        <v>304574898.2000001</v>
      </c>
      <c r="I16" s="14">
        <f>I17+I19</f>
        <v>32086526.01</v>
      </c>
      <c r="J16" s="14">
        <f aca="true" t="shared" si="8" ref="J16:AB16">J17+J19</f>
        <v>151709849.34</v>
      </c>
      <c r="K16" s="14">
        <f t="shared" si="8"/>
        <v>106769271.82</v>
      </c>
      <c r="L16" s="14">
        <f t="shared" si="8"/>
        <v>12217106.03</v>
      </c>
      <c r="M16" s="14">
        <f t="shared" si="8"/>
        <v>1506785</v>
      </c>
      <c r="N16" s="14">
        <f t="shared" si="8"/>
        <v>71340</v>
      </c>
      <c r="O16" s="14">
        <f t="shared" si="8"/>
        <v>71340</v>
      </c>
      <c r="P16" s="14">
        <f t="shared" si="8"/>
        <v>71340</v>
      </c>
      <c r="Q16" s="14">
        <f t="shared" si="8"/>
        <v>71340</v>
      </c>
      <c r="R16" s="14">
        <f t="shared" si="8"/>
        <v>0</v>
      </c>
      <c r="S16" s="14">
        <f t="shared" si="8"/>
        <v>0</v>
      </c>
      <c r="T16" s="14">
        <f t="shared" si="8"/>
        <v>0</v>
      </c>
      <c r="U16" s="14">
        <f t="shared" si="8"/>
        <v>0</v>
      </c>
      <c r="V16" s="14">
        <f t="shared" si="8"/>
        <v>0</v>
      </c>
      <c r="W16" s="14">
        <f t="shared" si="8"/>
        <v>0</v>
      </c>
      <c r="X16" s="14">
        <f t="shared" si="8"/>
        <v>0</v>
      </c>
      <c r="Y16" s="14">
        <f t="shared" si="8"/>
        <v>0</v>
      </c>
      <c r="Z16" s="14">
        <f t="shared" si="8"/>
        <v>0</v>
      </c>
      <c r="AA16" s="14">
        <f t="shared" si="8"/>
        <v>0</v>
      </c>
      <c r="AB16" s="14">
        <f t="shared" si="8"/>
        <v>0</v>
      </c>
      <c r="AC16" s="14">
        <f>AC17+AC19</f>
        <v>251365394.64000002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</row>
    <row r="17" spans="1:68" s="18" customFormat="1" ht="16.5" customHeight="1" outlineLevel="1">
      <c r="A17" s="11"/>
      <c r="B17" s="116" t="s">
        <v>61</v>
      </c>
      <c r="C17" s="116"/>
      <c r="D17" s="116"/>
      <c r="E17" s="116"/>
      <c r="F17" s="116"/>
      <c r="G17" s="116"/>
      <c r="H17" s="14">
        <f>H18</f>
        <v>76089.59999999999</v>
      </c>
      <c r="I17" s="14">
        <f aca="true" t="shared" si="9" ref="I17:AC17">I18</f>
        <v>60889.59999999999</v>
      </c>
      <c r="J17" s="14">
        <f t="shared" si="9"/>
        <v>15200</v>
      </c>
      <c r="K17" s="14">
        <f t="shared" si="9"/>
        <v>0</v>
      </c>
      <c r="L17" s="14">
        <f t="shared" si="9"/>
        <v>0</v>
      </c>
      <c r="M17" s="14">
        <f t="shared" si="9"/>
        <v>0</v>
      </c>
      <c r="N17" s="14">
        <f t="shared" si="9"/>
        <v>0</v>
      </c>
      <c r="O17" s="14">
        <f t="shared" si="9"/>
        <v>0</v>
      </c>
      <c r="P17" s="14">
        <f t="shared" si="9"/>
        <v>0</v>
      </c>
      <c r="Q17" s="14">
        <f t="shared" si="9"/>
        <v>0</v>
      </c>
      <c r="R17" s="14">
        <f t="shared" si="9"/>
        <v>0</v>
      </c>
      <c r="S17" s="14">
        <f t="shared" si="9"/>
        <v>0</v>
      </c>
      <c r="T17" s="14">
        <f t="shared" si="9"/>
        <v>0</v>
      </c>
      <c r="U17" s="14">
        <f t="shared" si="9"/>
        <v>0</v>
      </c>
      <c r="V17" s="14">
        <f t="shared" si="9"/>
        <v>0</v>
      </c>
      <c r="W17" s="14">
        <f t="shared" si="9"/>
        <v>0</v>
      </c>
      <c r="X17" s="14">
        <f t="shared" si="9"/>
        <v>0</v>
      </c>
      <c r="Y17" s="14">
        <f t="shared" si="9"/>
        <v>0</v>
      </c>
      <c r="Z17" s="14">
        <f t="shared" si="9"/>
        <v>0</v>
      </c>
      <c r="AA17" s="14">
        <f t="shared" si="9"/>
        <v>0</v>
      </c>
      <c r="AB17" s="14">
        <f t="shared" si="9"/>
        <v>0</v>
      </c>
      <c r="AC17" s="14">
        <f t="shared" si="9"/>
        <v>15200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</row>
    <row r="18" spans="1:68" s="18" customFormat="1" ht="93.75" customHeight="1" outlineLevel="2">
      <c r="A18" s="11" t="s">
        <v>24</v>
      </c>
      <c r="B18" s="1" t="s">
        <v>100</v>
      </c>
      <c r="C18" s="48" t="s">
        <v>14</v>
      </c>
      <c r="D18" s="3">
        <v>2010</v>
      </c>
      <c r="E18" s="4">
        <v>2012</v>
      </c>
      <c r="F18" s="4">
        <v>801</v>
      </c>
      <c r="G18" s="4">
        <v>80195</v>
      </c>
      <c r="H18" s="5">
        <f>SUM(I18:R18)</f>
        <v>76089.59999999999</v>
      </c>
      <c r="I18" s="5">
        <f>37598.34+23291.26</f>
        <v>60889.59999999999</v>
      </c>
      <c r="J18" s="5">
        <v>15200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15200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</row>
    <row r="19" spans="1:68" s="18" customFormat="1" ht="15.75" customHeight="1" outlineLevel="1">
      <c r="A19" s="11"/>
      <c r="B19" s="116" t="s">
        <v>62</v>
      </c>
      <c r="C19" s="116"/>
      <c r="D19" s="116"/>
      <c r="E19" s="116"/>
      <c r="F19" s="116"/>
      <c r="G19" s="116"/>
      <c r="H19" s="14">
        <f>SUM(H20:H24)</f>
        <v>304498808.6000001</v>
      </c>
      <c r="I19" s="14">
        <f>SUM(I20:I24)</f>
        <v>32025636.41</v>
      </c>
      <c r="J19" s="14">
        <f>SUM(J20:J24)</f>
        <v>151694649.34</v>
      </c>
      <c r="K19" s="14">
        <f aca="true" t="shared" si="10" ref="K19:AC19">SUM(K20:K24)</f>
        <v>106769271.82</v>
      </c>
      <c r="L19" s="14">
        <f t="shared" si="10"/>
        <v>12217106.03</v>
      </c>
      <c r="M19" s="14">
        <f t="shared" si="10"/>
        <v>1506785</v>
      </c>
      <c r="N19" s="14">
        <f t="shared" si="10"/>
        <v>71340</v>
      </c>
      <c r="O19" s="14">
        <f t="shared" si="10"/>
        <v>71340</v>
      </c>
      <c r="P19" s="14">
        <f t="shared" si="10"/>
        <v>71340</v>
      </c>
      <c r="Q19" s="14">
        <f t="shared" si="10"/>
        <v>71340</v>
      </c>
      <c r="R19" s="14">
        <f t="shared" si="10"/>
        <v>0</v>
      </c>
      <c r="S19" s="14">
        <f t="shared" si="10"/>
        <v>0</v>
      </c>
      <c r="T19" s="14">
        <f t="shared" si="10"/>
        <v>0</v>
      </c>
      <c r="U19" s="14">
        <f t="shared" si="10"/>
        <v>0</v>
      </c>
      <c r="V19" s="14">
        <f t="shared" si="10"/>
        <v>0</v>
      </c>
      <c r="W19" s="14">
        <f t="shared" si="10"/>
        <v>0</v>
      </c>
      <c r="X19" s="14">
        <f t="shared" si="10"/>
        <v>0</v>
      </c>
      <c r="Y19" s="14">
        <f t="shared" si="10"/>
        <v>0</v>
      </c>
      <c r="Z19" s="14">
        <f t="shared" si="10"/>
        <v>0</v>
      </c>
      <c r="AA19" s="14">
        <f t="shared" si="10"/>
        <v>0</v>
      </c>
      <c r="AB19" s="14">
        <f t="shared" si="10"/>
        <v>0</v>
      </c>
      <c r="AC19" s="14">
        <f t="shared" si="10"/>
        <v>251350194.64000002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</row>
    <row r="20" spans="1:68" s="41" customFormat="1" ht="132" customHeight="1" outlineLevel="1">
      <c r="A20" s="11" t="s">
        <v>24</v>
      </c>
      <c r="B20" s="49" t="s">
        <v>113</v>
      </c>
      <c r="C20" s="50" t="s">
        <v>11</v>
      </c>
      <c r="D20" s="51">
        <v>2003</v>
      </c>
      <c r="E20" s="4">
        <v>2015</v>
      </c>
      <c r="F20" s="4">
        <v>900</v>
      </c>
      <c r="G20" s="4">
        <v>90095</v>
      </c>
      <c r="H20" s="5">
        <f>SUM(I20:R20)</f>
        <v>279808743.67</v>
      </c>
      <c r="I20" s="5">
        <v>22816201.32</v>
      </c>
      <c r="J20" s="5">
        <v>141390214.84</v>
      </c>
      <c r="K20" s="5">
        <v>105057821.82</v>
      </c>
      <c r="L20" s="5">
        <v>10210427.83</v>
      </c>
      <c r="M20" s="5">
        <v>334077.86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v>235837476.21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68" s="41" customFormat="1" ht="98.25" customHeight="1" outlineLevel="1">
      <c r="A21" s="11" t="s">
        <v>25</v>
      </c>
      <c r="B21" s="49" t="s">
        <v>88</v>
      </c>
      <c r="C21" s="52" t="s">
        <v>11</v>
      </c>
      <c r="D21" s="51">
        <v>2008</v>
      </c>
      <c r="E21" s="4">
        <v>2012</v>
      </c>
      <c r="F21" s="4">
        <v>750</v>
      </c>
      <c r="G21" s="4">
        <v>75020</v>
      </c>
      <c r="H21" s="5">
        <f>SUM(I21:R21)</f>
        <v>3362000</v>
      </c>
      <c r="I21" s="5">
        <f>892747.26+1135000</f>
        <v>2027747.26</v>
      </c>
      <c r="J21" s="5">
        <v>1334252.74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v>482049.9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68" s="41" customFormat="1" ht="189.75" customHeight="1" outlineLevel="1">
      <c r="A22" s="11" t="s">
        <v>26</v>
      </c>
      <c r="B22" s="49" t="s">
        <v>86</v>
      </c>
      <c r="C22" s="52" t="s">
        <v>11</v>
      </c>
      <c r="D22" s="3">
        <v>2008</v>
      </c>
      <c r="E22" s="4">
        <v>2012</v>
      </c>
      <c r="F22" s="4">
        <v>600</v>
      </c>
      <c r="G22" s="4">
        <v>60015</v>
      </c>
      <c r="H22" s="5">
        <f>SUM(I22:R22)</f>
        <v>10525002.6</v>
      </c>
      <c r="I22" s="14">
        <f>1300033.14+3158727.15-0.69</f>
        <v>4458759.6</v>
      </c>
      <c r="J22" s="5">
        <v>6066243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v>6847334.43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68" s="18" customFormat="1" ht="78" customHeight="1" outlineLevel="1">
      <c r="A23" s="11" t="s">
        <v>27</v>
      </c>
      <c r="B23" s="49" t="s">
        <v>83</v>
      </c>
      <c r="C23" s="50" t="s">
        <v>11</v>
      </c>
      <c r="D23" s="51">
        <v>2008</v>
      </c>
      <c r="E23" s="4">
        <v>2019</v>
      </c>
      <c r="F23" s="4">
        <v>900</v>
      </c>
      <c r="G23" s="4">
        <v>90095</v>
      </c>
      <c r="H23" s="5">
        <f>SUM(I23:R23)</f>
        <v>3902476.1000000006</v>
      </c>
      <c r="I23" s="5">
        <f>1219536.04+577723.1+501450</f>
        <v>2298709.14</v>
      </c>
      <c r="J23" s="5">
        <v>503938.76</v>
      </c>
      <c r="K23" s="5">
        <v>261450</v>
      </c>
      <c r="L23" s="5">
        <v>481678.2</v>
      </c>
      <c r="M23" s="5">
        <v>71340</v>
      </c>
      <c r="N23" s="5">
        <v>71340</v>
      </c>
      <c r="O23" s="5">
        <v>71340</v>
      </c>
      <c r="P23" s="5">
        <v>71340</v>
      </c>
      <c r="Q23" s="5">
        <v>71340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v>1603766.96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68" s="41" customFormat="1" ht="139.5" customHeight="1" outlineLevel="1">
      <c r="A24" s="11" t="s">
        <v>28</v>
      </c>
      <c r="B24" s="49" t="s">
        <v>101</v>
      </c>
      <c r="C24" s="50" t="s">
        <v>11</v>
      </c>
      <c r="D24" s="51">
        <v>2008</v>
      </c>
      <c r="E24" s="4">
        <v>2015</v>
      </c>
      <c r="F24" s="4">
        <v>921</v>
      </c>
      <c r="G24" s="4">
        <v>92195</v>
      </c>
      <c r="H24" s="5">
        <f>SUM(I24:R24)</f>
        <v>6900586.2299999995</v>
      </c>
      <c r="I24" s="5">
        <f>321019.09+103200</f>
        <v>424219.09</v>
      </c>
      <c r="J24" s="5">
        <v>2400000</v>
      </c>
      <c r="K24" s="5">
        <v>1450000</v>
      </c>
      <c r="L24" s="5">
        <v>1525000</v>
      </c>
      <c r="M24" s="5">
        <v>1101367.14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>H24-321019.09</f>
        <v>6579567.14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68" ht="34.5" customHeight="1">
      <c r="A25" s="12" t="s">
        <v>68</v>
      </c>
      <c r="B25" s="95" t="s">
        <v>63</v>
      </c>
      <c r="C25" s="96"/>
      <c r="D25" s="96"/>
      <c r="E25" s="96"/>
      <c r="F25" s="96"/>
      <c r="G25" s="96"/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/>
      <c r="U25" s="14"/>
      <c r="V25" s="14"/>
      <c r="W25" s="14"/>
      <c r="X25" s="14"/>
      <c r="Y25" s="14"/>
      <c r="Z25" s="14"/>
      <c r="AA25" s="14"/>
      <c r="AB25" s="14"/>
      <c r="AC25" s="14">
        <v>0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</row>
    <row r="26" spans="1:68" ht="16.5" customHeight="1" outlineLevel="1">
      <c r="A26" s="12"/>
      <c r="B26" s="111" t="s">
        <v>64</v>
      </c>
      <c r="C26" s="111"/>
      <c r="D26" s="111"/>
      <c r="E26" s="111"/>
      <c r="F26" s="111"/>
      <c r="G26" s="111"/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/>
      <c r="U26" s="14"/>
      <c r="V26" s="14"/>
      <c r="W26" s="14"/>
      <c r="X26" s="14"/>
      <c r="Y26" s="14"/>
      <c r="Z26" s="14"/>
      <c r="AA26" s="14"/>
      <c r="AB26" s="14"/>
      <c r="AC26" s="14">
        <v>0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</row>
    <row r="27" spans="1:68" ht="16.5" customHeight="1" outlineLevel="1">
      <c r="A27" s="12"/>
      <c r="B27" s="111" t="s">
        <v>65</v>
      </c>
      <c r="C27" s="111"/>
      <c r="D27" s="111"/>
      <c r="E27" s="111"/>
      <c r="F27" s="111"/>
      <c r="G27" s="111"/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/>
      <c r="U27" s="14"/>
      <c r="V27" s="14"/>
      <c r="W27" s="14"/>
      <c r="X27" s="14"/>
      <c r="Y27" s="14"/>
      <c r="Z27" s="14"/>
      <c r="AA27" s="14"/>
      <c r="AB27" s="14"/>
      <c r="AC27" s="14">
        <v>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</row>
    <row r="28" spans="1:68" ht="27" customHeight="1">
      <c r="A28" s="12" t="s">
        <v>70</v>
      </c>
      <c r="B28" s="95" t="s">
        <v>66</v>
      </c>
      <c r="C28" s="96"/>
      <c r="D28" s="96"/>
      <c r="E28" s="96"/>
      <c r="F28" s="96"/>
      <c r="G28" s="96"/>
      <c r="H28" s="14">
        <f>H29+H32</f>
        <v>3792222.74</v>
      </c>
      <c r="I28" s="14">
        <f aca="true" t="shared" si="11" ref="I28:AC28">I29+I32</f>
        <v>278616.54000000004</v>
      </c>
      <c r="J28" s="14">
        <f t="shared" si="11"/>
        <v>3030060.4</v>
      </c>
      <c r="K28" s="14">
        <f t="shared" si="11"/>
        <v>28419.4</v>
      </c>
      <c r="L28" s="14">
        <f t="shared" si="11"/>
        <v>28419.4</v>
      </c>
      <c r="M28" s="14">
        <f t="shared" si="11"/>
        <v>28419.4</v>
      </c>
      <c r="N28" s="14">
        <f t="shared" si="11"/>
        <v>28419.4</v>
      </c>
      <c r="O28" s="14">
        <f t="shared" si="11"/>
        <v>28419.4</v>
      </c>
      <c r="P28" s="14">
        <f t="shared" si="11"/>
        <v>28419.4</v>
      </c>
      <c r="Q28" s="14">
        <f t="shared" si="11"/>
        <v>28419.4</v>
      </c>
      <c r="R28" s="14">
        <f t="shared" si="11"/>
        <v>28419.4</v>
      </c>
      <c r="S28" s="14">
        <f t="shared" si="11"/>
        <v>28419.4</v>
      </c>
      <c r="T28" s="14">
        <f t="shared" si="11"/>
        <v>28419.4</v>
      </c>
      <c r="U28" s="14">
        <f t="shared" si="11"/>
        <v>28419.4</v>
      </c>
      <c r="V28" s="14">
        <f t="shared" si="11"/>
        <v>28419.4</v>
      </c>
      <c r="W28" s="14">
        <f t="shared" si="11"/>
        <v>28419.4</v>
      </c>
      <c r="X28" s="14">
        <f t="shared" si="11"/>
        <v>28419.4</v>
      </c>
      <c r="Y28" s="14">
        <f t="shared" si="11"/>
        <v>28419.4</v>
      </c>
      <c r="Z28" s="14">
        <f t="shared" si="11"/>
        <v>28419.4</v>
      </c>
      <c r="AA28" s="14">
        <f t="shared" si="11"/>
        <v>28419.4</v>
      </c>
      <c r="AB28" s="14">
        <f t="shared" si="11"/>
        <v>416</v>
      </c>
      <c r="AC28" s="14">
        <f t="shared" si="11"/>
        <v>3052641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</row>
    <row r="29" spans="1:68" ht="16.5" customHeight="1" outlineLevel="1">
      <c r="A29" s="12"/>
      <c r="B29" s="111" t="s">
        <v>64</v>
      </c>
      <c r="C29" s="111"/>
      <c r="D29" s="111"/>
      <c r="E29" s="111"/>
      <c r="F29" s="111"/>
      <c r="G29" s="111"/>
      <c r="H29" s="14">
        <f>SUM(H30:H31)</f>
        <v>633489.7400000002</v>
      </c>
      <c r="I29" s="14">
        <f aca="true" t="shared" si="12" ref="I29:AC29">SUM(I30:I31)</f>
        <v>81524.54000000001</v>
      </c>
      <c r="J29" s="14">
        <f t="shared" si="12"/>
        <v>68419.4</v>
      </c>
      <c r="K29" s="14">
        <f t="shared" si="12"/>
        <v>28419.4</v>
      </c>
      <c r="L29" s="14">
        <f t="shared" si="12"/>
        <v>28419.4</v>
      </c>
      <c r="M29" s="14">
        <f t="shared" si="12"/>
        <v>28419.4</v>
      </c>
      <c r="N29" s="14">
        <f t="shared" si="12"/>
        <v>28419.4</v>
      </c>
      <c r="O29" s="14">
        <f t="shared" si="12"/>
        <v>28419.4</v>
      </c>
      <c r="P29" s="14">
        <f t="shared" si="12"/>
        <v>28419.4</v>
      </c>
      <c r="Q29" s="14">
        <f t="shared" si="12"/>
        <v>28419.4</v>
      </c>
      <c r="R29" s="14">
        <f t="shared" si="12"/>
        <v>28419.4</v>
      </c>
      <c r="S29" s="14">
        <f t="shared" si="12"/>
        <v>28419.4</v>
      </c>
      <c r="T29" s="14">
        <f t="shared" si="12"/>
        <v>28419.4</v>
      </c>
      <c r="U29" s="14">
        <f t="shared" si="12"/>
        <v>28419.4</v>
      </c>
      <c r="V29" s="14">
        <f t="shared" si="12"/>
        <v>28419.4</v>
      </c>
      <c r="W29" s="14">
        <f t="shared" si="12"/>
        <v>28419.4</v>
      </c>
      <c r="X29" s="14">
        <f t="shared" si="12"/>
        <v>28419.4</v>
      </c>
      <c r="Y29" s="14">
        <f t="shared" si="12"/>
        <v>28419.4</v>
      </c>
      <c r="Z29" s="14">
        <f t="shared" si="12"/>
        <v>28419.4</v>
      </c>
      <c r="AA29" s="14">
        <f t="shared" si="12"/>
        <v>28419.4</v>
      </c>
      <c r="AB29" s="14">
        <f t="shared" si="12"/>
        <v>416</v>
      </c>
      <c r="AC29" s="14">
        <f t="shared" si="12"/>
        <v>40000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</row>
    <row r="30" spans="1:29" ht="112.5" customHeight="1" outlineLevel="1">
      <c r="A30" s="12" t="s">
        <v>24</v>
      </c>
      <c r="B30" s="15" t="s">
        <v>112</v>
      </c>
      <c r="C30" s="28" t="s">
        <v>11</v>
      </c>
      <c r="D30" s="16">
        <v>2011</v>
      </c>
      <c r="E30" s="17">
        <v>2030</v>
      </c>
      <c r="F30" s="17">
        <v>900</v>
      </c>
      <c r="G30" s="17">
        <v>90095</v>
      </c>
      <c r="H30" s="14">
        <f>SUM(I30:AB30)</f>
        <v>553489.7400000002</v>
      </c>
      <c r="I30" s="14">
        <f>13105.14+28419.4</f>
        <v>41524.54</v>
      </c>
      <c r="J30" s="40">
        <f>28419.4</f>
        <v>28419.4</v>
      </c>
      <c r="K30" s="40">
        <v>28419.4</v>
      </c>
      <c r="L30" s="40">
        <v>28419.4</v>
      </c>
      <c r="M30" s="40">
        <v>28419.4</v>
      </c>
      <c r="N30" s="40">
        <v>28419.4</v>
      </c>
      <c r="O30" s="40">
        <v>28419.4</v>
      </c>
      <c r="P30" s="40">
        <v>28419.4</v>
      </c>
      <c r="Q30" s="40">
        <v>28419.4</v>
      </c>
      <c r="R30" s="40">
        <v>28419.4</v>
      </c>
      <c r="S30" s="40">
        <v>28419.4</v>
      </c>
      <c r="T30" s="40">
        <v>28419.4</v>
      </c>
      <c r="U30" s="40">
        <v>28419.4</v>
      </c>
      <c r="V30" s="40">
        <v>28419.4</v>
      </c>
      <c r="W30" s="40">
        <v>28419.4</v>
      </c>
      <c r="X30" s="40">
        <v>28419.4</v>
      </c>
      <c r="Y30" s="40">
        <v>28419.4</v>
      </c>
      <c r="Z30" s="40">
        <v>28419.4</v>
      </c>
      <c r="AA30" s="40">
        <v>28419.4</v>
      </c>
      <c r="AB30" s="40">
        <v>416</v>
      </c>
      <c r="AC30" s="14">
        <v>0</v>
      </c>
    </row>
    <row r="31" spans="1:29" ht="112.5" customHeight="1" outlineLevel="1">
      <c r="A31" s="12" t="s">
        <v>25</v>
      </c>
      <c r="B31" s="15" t="s">
        <v>123</v>
      </c>
      <c r="C31" s="28" t="s">
        <v>11</v>
      </c>
      <c r="D31" s="16">
        <v>2011</v>
      </c>
      <c r="E31" s="17">
        <v>2012</v>
      </c>
      <c r="F31" s="17">
        <v>900</v>
      </c>
      <c r="G31" s="17">
        <v>90095</v>
      </c>
      <c r="H31" s="14">
        <f>SUM(I31:AB31)</f>
        <v>80000</v>
      </c>
      <c r="I31" s="14">
        <v>40000</v>
      </c>
      <c r="J31" s="40">
        <f>40000</f>
        <v>40000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14">
        <v>40000</v>
      </c>
    </row>
    <row r="32" spans="1:141" ht="16.5" customHeight="1" outlineLevel="1">
      <c r="A32" s="12"/>
      <c r="B32" s="111" t="s">
        <v>65</v>
      </c>
      <c r="C32" s="111"/>
      <c r="D32" s="111"/>
      <c r="E32" s="111"/>
      <c r="F32" s="111"/>
      <c r="G32" s="111"/>
      <c r="H32" s="14">
        <f>SUM(H33:H39)</f>
        <v>3158733</v>
      </c>
      <c r="I32" s="14">
        <f>SUM(I33:I39)</f>
        <v>197092</v>
      </c>
      <c r="J32" s="14">
        <f>SUM(J33:J39)</f>
        <v>2961641</v>
      </c>
      <c r="K32" s="14">
        <f aca="true" t="shared" si="13" ref="K32:AC32">SUM(K33:K39)</f>
        <v>0</v>
      </c>
      <c r="L32" s="14">
        <f t="shared" si="13"/>
        <v>0</v>
      </c>
      <c r="M32" s="14">
        <f t="shared" si="13"/>
        <v>0</v>
      </c>
      <c r="N32" s="14">
        <f t="shared" si="13"/>
        <v>0</v>
      </c>
      <c r="O32" s="14">
        <f t="shared" si="13"/>
        <v>0</v>
      </c>
      <c r="P32" s="14">
        <f t="shared" si="13"/>
        <v>0</v>
      </c>
      <c r="Q32" s="14">
        <f t="shared" si="13"/>
        <v>0</v>
      </c>
      <c r="R32" s="14">
        <f t="shared" si="13"/>
        <v>0</v>
      </c>
      <c r="S32" s="14">
        <f t="shared" si="13"/>
        <v>0</v>
      </c>
      <c r="T32" s="14">
        <f t="shared" si="13"/>
        <v>0</v>
      </c>
      <c r="U32" s="14">
        <f t="shared" si="13"/>
        <v>0</v>
      </c>
      <c r="V32" s="14">
        <f t="shared" si="13"/>
        <v>0</v>
      </c>
      <c r="W32" s="14">
        <f t="shared" si="13"/>
        <v>0</v>
      </c>
      <c r="X32" s="14">
        <f t="shared" si="13"/>
        <v>0</v>
      </c>
      <c r="Y32" s="14">
        <f t="shared" si="13"/>
        <v>0</v>
      </c>
      <c r="Z32" s="14">
        <f t="shared" si="13"/>
        <v>0</v>
      </c>
      <c r="AA32" s="14">
        <f t="shared" si="13"/>
        <v>0</v>
      </c>
      <c r="AB32" s="14">
        <f t="shared" si="13"/>
        <v>0</v>
      </c>
      <c r="AC32" s="14">
        <f t="shared" si="13"/>
        <v>3012641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</row>
    <row r="33" spans="1:68" s="18" customFormat="1" ht="125.25" customHeight="1" outlineLevel="1">
      <c r="A33" s="11" t="s">
        <v>24</v>
      </c>
      <c r="B33" s="49" t="s">
        <v>85</v>
      </c>
      <c r="C33" s="50" t="s">
        <v>11</v>
      </c>
      <c r="D33" s="51">
        <v>2011</v>
      </c>
      <c r="E33" s="4">
        <v>2012</v>
      </c>
      <c r="F33" s="4">
        <v>900</v>
      </c>
      <c r="G33" s="4">
        <v>90095</v>
      </c>
      <c r="H33" s="5">
        <f aca="true" t="shared" si="14" ref="H33:H39">SUM(I33:R33)</f>
        <v>400000</v>
      </c>
      <c r="I33" s="5">
        <v>16359</v>
      </c>
      <c r="J33" s="5">
        <v>383641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v>383641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s="18" customFormat="1" ht="97.5" customHeight="1" outlineLevel="1">
      <c r="A34" s="11" t="s">
        <v>25</v>
      </c>
      <c r="B34" s="49" t="s">
        <v>84</v>
      </c>
      <c r="C34" s="2" t="s">
        <v>11</v>
      </c>
      <c r="D34" s="51">
        <v>2011</v>
      </c>
      <c r="E34" s="4">
        <v>2012</v>
      </c>
      <c r="F34" s="4">
        <v>600</v>
      </c>
      <c r="G34" s="4">
        <v>60016</v>
      </c>
      <c r="H34" s="5">
        <f t="shared" si="14"/>
        <v>770000</v>
      </c>
      <c r="I34" s="5">
        <v>50000</v>
      </c>
      <c r="J34" s="5">
        <v>720000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720000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s="18" customFormat="1" ht="79.5" customHeight="1" outlineLevel="1">
      <c r="A35" s="11" t="s">
        <v>26</v>
      </c>
      <c r="B35" s="49" t="s">
        <v>102</v>
      </c>
      <c r="C35" s="2" t="s">
        <v>11</v>
      </c>
      <c r="D35" s="51">
        <v>2009</v>
      </c>
      <c r="E35" s="4">
        <v>2012</v>
      </c>
      <c r="F35" s="4">
        <v>600</v>
      </c>
      <c r="G35" s="4">
        <v>60016</v>
      </c>
      <c r="H35" s="5">
        <f t="shared" si="14"/>
        <v>1676510</v>
      </c>
      <c r="I35" s="5">
        <v>76510</v>
      </c>
      <c r="J35" s="5">
        <v>1600000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4">
        <v>1650000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s="18" customFormat="1" ht="64.5" customHeight="1" outlineLevel="1">
      <c r="A36" s="11" t="s">
        <v>27</v>
      </c>
      <c r="B36" s="53" t="s">
        <v>117</v>
      </c>
      <c r="C36" s="2" t="s">
        <v>11</v>
      </c>
      <c r="D36" s="3">
        <v>2011</v>
      </c>
      <c r="E36" s="4">
        <v>2012</v>
      </c>
      <c r="F36" s="4">
        <v>900</v>
      </c>
      <c r="G36" s="4">
        <v>90095</v>
      </c>
      <c r="H36" s="5">
        <f t="shared" si="14"/>
        <v>140000</v>
      </c>
      <c r="I36" s="5">
        <f>10000</f>
        <v>10000</v>
      </c>
      <c r="J36" s="5">
        <v>130000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130000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s="18" customFormat="1" ht="98.25" customHeight="1" outlineLevel="1">
      <c r="A37" s="11" t="s">
        <v>28</v>
      </c>
      <c r="B37" s="49" t="s">
        <v>122</v>
      </c>
      <c r="C37" s="2" t="s">
        <v>11</v>
      </c>
      <c r="D37" s="3">
        <v>2011</v>
      </c>
      <c r="E37" s="4">
        <v>2012</v>
      </c>
      <c r="F37" s="4">
        <v>900</v>
      </c>
      <c r="G37" s="4">
        <v>90095</v>
      </c>
      <c r="H37" s="5">
        <f t="shared" si="14"/>
        <v>88819</v>
      </c>
      <c r="I37" s="5">
        <v>18819</v>
      </c>
      <c r="J37" s="5">
        <v>70000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v>70000</v>
      </c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s="18" customFormat="1" ht="125.25" customHeight="1" outlineLevel="1">
      <c r="A38" s="11" t="s">
        <v>29</v>
      </c>
      <c r="B38" s="49" t="s">
        <v>118</v>
      </c>
      <c r="C38" s="2" t="s">
        <v>11</v>
      </c>
      <c r="D38" s="3">
        <v>2011</v>
      </c>
      <c r="E38" s="4">
        <v>2012</v>
      </c>
      <c r="F38" s="4">
        <v>900</v>
      </c>
      <c r="G38" s="4">
        <v>90095</v>
      </c>
      <c r="H38" s="5">
        <f t="shared" si="14"/>
        <v>55498</v>
      </c>
      <c r="I38" s="5">
        <v>15498</v>
      </c>
      <c r="J38" s="5">
        <v>40000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v>40000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s="18" customFormat="1" ht="138.75" customHeight="1" outlineLevel="1">
      <c r="A39" s="11" t="s">
        <v>30</v>
      </c>
      <c r="B39" s="49" t="s">
        <v>119</v>
      </c>
      <c r="C39" s="2" t="s">
        <v>11</v>
      </c>
      <c r="D39" s="3">
        <v>2010</v>
      </c>
      <c r="E39" s="4">
        <v>2012</v>
      </c>
      <c r="F39" s="4">
        <v>900</v>
      </c>
      <c r="G39" s="4">
        <v>90095</v>
      </c>
      <c r="H39" s="5">
        <f t="shared" si="14"/>
        <v>27906</v>
      </c>
      <c r="I39" s="5">
        <f>1000+8906</f>
        <v>9906</v>
      </c>
      <c r="J39" s="5">
        <v>18000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v>19000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ht="46.5" customHeight="1">
      <c r="A40" s="12" t="s">
        <v>76</v>
      </c>
      <c r="B40" s="103" t="s">
        <v>69</v>
      </c>
      <c r="C40" s="104"/>
      <c r="D40" s="104"/>
      <c r="E40" s="104"/>
      <c r="F40" s="104"/>
      <c r="G40" s="105"/>
      <c r="H40" s="14">
        <f>H41</f>
        <v>27901753.569999997</v>
      </c>
      <c r="I40" s="14">
        <f aca="true" t="shared" si="15" ref="I40:AC40">I41</f>
        <v>19321065.34</v>
      </c>
      <c r="J40" s="14">
        <f>J41</f>
        <v>7496624.089999998</v>
      </c>
      <c r="K40" s="14">
        <f t="shared" si="15"/>
        <v>543246.0199999999</v>
      </c>
      <c r="L40" s="14">
        <f t="shared" si="15"/>
        <v>275864.13999999996</v>
      </c>
      <c r="M40" s="14">
        <f t="shared" si="15"/>
        <v>242712.99</v>
      </c>
      <c r="N40" s="14">
        <f t="shared" si="15"/>
        <v>21390.53</v>
      </c>
      <c r="O40" s="14">
        <f t="shared" si="15"/>
        <v>510.19</v>
      </c>
      <c r="P40" s="14">
        <f t="shared" si="15"/>
        <v>154.19</v>
      </c>
      <c r="Q40" s="14">
        <f t="shared" si="15"/>
        <v>101.19</v>
      </c>
      <c r="R40" s="14">
        <f t="shared" si="15"/>
        <v>84.89</v>
      </c>
      <c r="S40" s="14">
        <f t="shared" si="15"/>
        <v>0</v>
      </c>
      <c r="T40" s="14"/>
      <c r="U40" s="14"/>
      <c r="V40" s="14"/>
      <c r="W40" s="14"/>
      <c r="X40" s="14"/>
      <c r="Y40" s="14"/>
      <c r="Z40" s="14"/>
      <c r="AA40" s="14"/>
      <c r="AB40" s="14"/>
      <c r="AC40" s="14">
        <f t="shared" si="15"/>
        <v>2031302.6700000002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</row>
    <row r="41" spans="1:68" ht="16.5" customHeight="1" outlineLevel="1">
      <c r="A41" s="12"/>
      <c r="B41" s="111" t="s">
        <v>64</v>
      </c>
      <c r="C41" s="111"/>
      <c r="D41" s="111"/>
      <c r="E41" s="111"/>
      <c r="F41" s="111"/>
      <c r="G41" s="111"/>
      <c r="H41" s="14">
        <f aca="true" t="shared" si="16" ref="H41:AC41">SUM(H42:H72)</f>
        <v>27901753.569999997</v>
      </c>
      <c r="I41" s="14">
        <f t="shared" si="16"/>
        <v>19321065.34</v>
      </c>
      <c r="J41" s="14">
        <f t="shared" si="16"/>
        <v>7496624.089999998</v>
      </c>
      <c r="K41" s="14">
        <f t="shared" si="16"/>
        <v>543246.0199999999</v>
      </c>
      <c r="L41" s="14">
        <f t="shared" si="16"/>
        <v>275864.13999999996</v>
      </c>
      <c r="M41" s="14">
        <f t="shared" si="16"/>
        <v>242712.99</v>
      </c>
      <c r="N41" s="14">
        <f t="shared" si="16"/>
        <v>21390.53</v>
      </c>
      <c r="O41" s="14">
        <f t="shared" si="16"/>
        <v>510.19</v>
      </c>
      <c r="P41" s="14">
        <f t="shared" si="16"/>
        <v>154.19</v>
      </c>
      <c r="Q41" s="14">
        <f t="shared" si="16"/>
        <v>101.19</v>
      </c>
      <c r="R41" s="14">
        <f t="shared" si="16"/>
        <v>84.89</v>
      </c>
      <c r="S41" s="14">
        <f t="shared" si="16"/>
        <v>0</v>
      </c>
      <c r="T41" s="14">
        <f t="shared" si="16"/>
        <v>0</v>
      </c>
      <c r="U41" s="14">
        <f t="shared" si="16"/>
        <v>0</v>
      </c>
      <c r="V41" s="14">
        <f t="shared" si="16"/>
        <v>0</v>
      </c>
      <c r="W41" s="14">
        <f t="shared" si="16"/>
        <v>0</v>
      </c>
      <c r="X41" s="14">
        <f t="shared" si="16"/>
        <v>0</v>
      </c>
      <c r="Y41" s="14">
        <f t="shared" si="16"/>
        <v>0</v>
      </c>
      <c r="Z41" s="14">
        <f t="shared" si="16"/>
        <v>0</v>
      </c>
      <c r="AA41" s="14">
        <f t="shared" si="16"/>
        <v>0</v>
      </c>
      <c r="AB41" s="14">
        <f t="shared" si="16"/>
        <v>0</v>
      </c>
      <c r="AC41" s="14">
        <f t="shared" si="16"/>
        <v>2031302.6700000002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</row>
    <row r="42" spans="1:68" ht="108" customHeight="1" outlineLevel="1">
      <c r="A42" s="11" t="s">
        <v>24</v>
      </c>
      <c r="B42" s="54" t="s">
        <v>103</v>
      </c>
      <c r="C42" s="48" t="s">
        <v>11</v>
      </c>
      <c r="D42" s="3">
        <v>2010</v>
      </c>
      <c r="E42" s="4">
        <v>2012</v>
      </c>
      <c r="F42" s="4">
        <v>852</v>
      </c>
      <c r="G42" s="4">
        <v>85203</v>
      </c>
      <c r="H42" s="5">
        <f aca="true" t="shared" si="17" ref="H42:H47">SUM(I42:R42)</f>
        <v>330000</v>
      </c>
      <c r="I42" s="5">
        <f>110000+110000</f>
        <v>220000</v>
      </c>
      <c r="J42" s="5">
        <v>110000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>
        <v>110000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</row>
    <row r="43" spans="1:68" ht="108.75" customHeight="1" outlineLevel="1">
      <c r="A43" s="11" t="s">
        <v>25</v>
      </c>
      <c r="B43" s="1" t="s">
        <v>104</v>
      </c>
      <c r="C43" s="48" t="s">
        <v>11</v>
      </c>
      <c r="D43" s="3">
        <v>2010</v>
      </c>
      <c r="E43" s="4">
        <v>2012</v>
      </c>
      <c r="F43" s="4">
        <v>750</v>
      </c>
      <c r="G43" s="4">
        <v>75023</v>
      </c>
      <c r="H43" s="5">
        <f>SUM(I43:R43)</f>
        <v>5074.4</v>
      </c>
      <c r="I43" s="5">
        <f>2829.6+1268.8</f>
        <v>4098.4</v>
      </c>
      <c r="J43" s="5">
        <v>976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v>976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</row>
    <row r="44" spans="1:68" ht="111" customHeight="1" outlineLevel="1">
      <c r="A44" s="11" t="s">
        <v>26</v>
      </c>
      <c r="B44" s="1" t="s">
        <v>105</v>
      </c>
      <c r="C44" s="48" t="s">
        <v>11</v>
      </c>
      <c r="D44" s="3">
        <v>2010</v>
      </c>
      <c r="E44" s="4">
        <v>2012</v>
      </c>
      <c r="F44" s="4">
        <v>750</v>
      </c>
      <c r="G44" s="4">
        <v>75023</v>
      </c>
      <c r="H44" s="5">
        <f t="shared" si="17"/>
        <v>801117.05</v>
      </c>
      <c r="I44" s="5">
        <f>236486.75+282315.3</f>
        <v>518802.05</v>
      </c>
      <c r="J44" s="5">
        <v>282315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v>282315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</row>
    <row r="45" spans="1:68" s="41" customFormat="1" ht="103.5" customHeight="1" outlineLevel="2">
      <c r="A45" s="11" t="s">
        <v>27</v>
      </c>
      <c r="B45" s="1" t="s">
        <v>77</v>
      </c>
      <c r="C45" s="55" t="s">
        <v>11</v>
      </c>
      <c r="D45" s="3">
        <v>2008</v>
      </c>
      <c r="E45" s="4">
        <v>2013</v>
      </c>
      <c r="F45" s="4">
        <v>750</v>
      </c>
      <c r="G45" s="4">
        <v>75023</v>
      </c>
      <c r="H45" s="47">
        <f t="shared" si="17"/>
        <v>27049</v>
      </c>
      <c r="I45" s="47">
        <f>16348+6642</f>
        <v>22990</v>
      </c>
      <c r="J45" s="47">
        <v>3567</v>
      </c>
      <c r="K45" s="47">
        <v>492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>
        <v>4059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>
        <v>7686</v>
      </c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s="42" customFormat="1" ht="115.5" customHeight="1" outlineLevel="2">
      <c r="A46" s="11" t="s">
        <v>28</v>
      </c>
      <c r="B46" s="1" t="s">
        <v>106</v>
      </c>
      <c r="C46" s="50" t="s">
        <v>11</v>
      </c>
      <c r="D46" s="3">
        <v>2011</v>
      </c>
      <c r="E46" s="4">
        <v>2013</v>
      </c>
      <c r="F46" s="4">
        <v>750</v>
      </c>
      <c r="G46" s="4">
        <v>75023</v>
      </c>
      <c r="H46" s="5">
        <f t="shared" si="17"/>
        <v>39635.54000000001</v>
      </c>
      <c r="I46" s="5">
        <v>20853.06</v>
      </c>
      <c r="J46" s="5">
        <v>17567.82</v>
      </c>
      <c r="K46" s="5">
        <v>1214.66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v>18782.48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s="42" customFormat="1" ht="90.75" customHeight="1" outlineLevel="2">
      <c r="A47" s="11" t="s">
        <v>29</v>
      </c>
      <c r="B47" s="1" t="s">
        <v>107</v>
      </c>
      <c r="C47" s="50" t="s">
        <v>11</v>
      </c>
      <c r="D47" s="3">
        <v>2011</v>
      </c>
      <c r="E47" s="4">
        <v>2013</v>
      </c>
      <c r="F47" s="4">
        <v>750</v>
      </c>
      <c r="G47" s="4">
        <v>75023</v>
      </c>
      <c r="H47" s="5">
        <f t="shared" si="17"/>
        <v>67384</v>
      </c>
      <c r="I47" s="5">
        <v>32206</v>
      </c>
      <c r="J47" s="5">
        <v>32472</v>
      </c>
      <c r="K47" s="5">
        <v>2706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v>35178</v>
      </c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s="41" customFormat="1" ht="64.5" customHeight="1" outlineLevel="2">
      <c r="A48" s="11" t="s">
        <v>30</v>
      </c>
      <c r="B48" s="1" t="s">
        <v>108</v>
      </c>
      <c r="C48" s="50" t="s">
        <v>11</v>
      </c>
      <c r="D48" s="3">
        <v>2006</v>
      </c>
      <c r="E48" s="4">
        <v>2020</v>
      </c>
      <c r="F48" s="4">
        <v>600</v>
      </c>
      <c r="G48" s="4">
        <v>60016</v>
      </c>
      <c r="H48" s="5">
        <f>SUM(I48:S48)</f>
        <v>6024.07</v>
      </c>
      <c r="I48" s="5">
        <f>1257.66+468.41+600</f>
        <v>2326.07</v>
      </c>
      <c r="J48" s="5">
        <v>800</v>
      </c>
      <c r="K48" s="5">
        <v>529</v>
      </c>
      <c r="L48" s="5">
        <v>529</v>
      </c>
      <c r="M48" s="5">
        <v>529</v>
      </c>
      <c r="N48" s="5">
        <v>529</v>
      </c>
      <c r="O48" s="5">
        <v>489</v>
      </c>
      <c r="P48" s="5">
        <v>133</v>
      </c>
      <c r="Q48" s="5">
        <v>80</v>
      </c>
      <c r="R48" s="5">
        <v>80</v>
      </c>
      <c r="S48" s="5">
        <v>0</v>
      </c>
      <c r="T48" s="5"/>
      <c r="U48" s="5"/>
      <c r="V48" s="5"/>
      <c r="W48" s="5"/>
      <c r="X48" s="5"/>
      <c r="Y48" s="5"/>
      <c r="Z48" s="5"/>
      <c r="AA48" s="5"/>
      <c r="AB48" s="5"/>
      <c r="AC48" s="5">
        <v>3698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s="41" customFormat="1" ht="110.25" customHeight="1" outlineLevel="2">
      <c r="A49" s="11" t="s">
        <v>31</v>
      </c>
      <c r="B49" s="1" t="s">
        <v>109</v>
      </c>
      <c r="C49" s="50" t="s">
        <v>11</v>
      </c>
      <c r="D49" s="3">
        <v>2010</v>
      </c>
      <c r="E49" s="4">
        <v>2020</v>
      </c>
      <c r="F49" s="4">
        <v>900</v>
      </c>
      <c r="G49" s="4">
        <v>90095</v>
      </c>
      <c r="H49" s="5">
        <f>SUM(I49:S49)</f>
        <v>619.5800000000003</v>
      </c>
      <c r="I49" s="5">
        <f>260.41+74.98</f>
        <v>335.39000000000004</v>
      </c>
      <c r="J49" s="5">
        <v>100</v>
      </c>
      <c r="K49" s="5">
        <v>37.49</v>
      </c>
      <c r="L49" s="5">
        <v>35.86</v>
      </c>
      <c r="M49" s="5">
        <v>21.19</v>
      </c>
      <c r="N49" s="5">
        <v>21.19</v>
      </c>
      <c r="O49" s="5">
        <v>21.19</v>
      </c>
      <c r="P49" s="5">
        <v>21.19</v>
      </c>
      <c r="Q49" s="5">
        <v>21.19</v>
      </c>
      <c r="R49" s="5">
        <v>4.89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>
        <v>284.19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s="41" customFormat="1" ht="123" customHeight="1" outlineLevel="2">
      <c r="A50" s="11" t="s">
        <v>32</v>
      </c>
      <c r="B50" s="1" t="s">
        <v>110</v>
      </c>
      <c r="C50" s="50" t="s">
        <v>11</v>
      </c>
      <c r="D50" s="3">
        <v>2011</v>
      </c>
      <c r="E50" s="4">
        <v>2013</v>
      </c>
      <c r="F50" s="4">
        <v>700</v>
      </c>
      <c r="G50" s="4">
        <v>70021</v>
      </c>
      <c r="H50" s="5">
        <f>SUM(I50:S50)</f>
        <v>20260</v>
      </c>
      <c r="I50" s="5">
        <v>5500</v>
      </c>
      <c r="J50" s="5">
        <v>7380</v>
      </c>
      <c r="K50" s="5">
        <v>7380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14760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s="41" customFormat="1" ht="124.5" customHeight="1" outlineLevel="2">
      <c r="A51" s="11" t="s">
        <v>33</v>
      </c>
      <c r="B51" s="1" t="s">
        <v>111</v>
      </c>
      <c r="C51" s="50" t="s">
        <v>11</v>
      </c>
      <c r="D51" s="3">
        <v>2012</v>
      </c>
      <c r="E51" s="4">
        <v>2016</v>
      </c>
      <c r="F51" s="4">
        <v>750</v>
      </c>
      <c r="G51" s="4">
        <v>75023</v>
      </c>
      <c r="H51" s="5">
        <f>SUM(I51:R51)</f>
        <v>1490896.01</v>
      </c>
      <c r="I51" s="5">
        <v>0</v>
      </c>
      <c r="J51" s="5">
        <v>462201.67</v>
      </c>
      <c r="K51" s="5">
        <v>504220</v>
      </c>
      <c r="L51" s="5">
        <v>263144</v>
      </c>
      <c r="M51" s="5">
        <v>241228</v>
      </c>
      <c r="N51" s="5">
        <v>20102.34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v>1490896.01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s="41" customFormat="1" ht="124.5" customHeight="1" outlineLevel="2">
      <c r="A52" s="11" t="s">
        <v>34</v>
      </c>
      <c r="B52" s="1" t="s">
        <v>87</v>
      </c>
      <c r="C52" s="48" t="s">
        <v>11</v>
      </c>
      <c r="D52" s="3">
        <v>2011</v>
      </c>
      <c r="E52" s="4">
        <v>2012</v>
      </c>
      <c r="F52" s="4">
        <v>900</v>
      </c>
      <c r="G52" s="4">
        <v>90013</v>
      </c>
      <c r="H52" s="5">
        <f>SUM(I52:R52)</f>
        <v>57162.5</v>
      </c>
      <c r="I52" s="5">
        <v>17162.5</v>
      </c>
      <c r="J52" s="5">
        <v>40000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v>40000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s="41" customFormat="1" ht="124.5" customHeight="1" outlineLevel="2">
      <c r="A53" s="11" t="s">
        <v>35</v>
      </c>
      <c r="B53" s="59" t="s">
        <v>125</v>
      </c>
      <c r="C53" s="60" t="s">
        <v>11</v>
      </c>
      <c r="D53" s="61">
        <v>2012</v>
      </c>
      <c r="E53" s="17">
        <v>2013</v>
      </c>
      <c r="F53" s="17">
        <v>750</v>
      </c>
      <c r="G53" s="17">
        <v>75023</v>
      </c>
      <c r="H53" s="40">
        <f>SUM(I53:R53)</f>
        <v>5420</v>
      </c>
      <c r="I53" s="5">
        <v>0</v>
      </c>
      <c r="J53" s="5">
        <v>2710</v>
      </c>
      <c r="K53" s="5">
        <v>2710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v>2717.69</v>
      </c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s="41" customFormat="1" ht="52.5" customHeight="1" outlineLevel="2">
      <c r="A54" s="11" t="s">
        <v>36</v>
      </c>
      <c r="B54" s="1" t="s">
        <v>79</v>
      </c>
      <c r="C54" s="48" t="s">
        <v>12</v>
      </c>
      <c r="D54" s="3">
        <v>2010</v>
      </c>
      <c r="E54" s="4">
        <v>2012</v>
      </c>
      <c r="F54" s="4">
        <v>852</v>
      </c>
      <c r="G54" s="4">
        <v>85219</v>
      </c>
      <c r="H54" s="5">
        <f>SUM(I54:R54)</f>
        <v>8157.460000000001</v>
      </c>
      <c r="I54" s="5">
        <f>336.48+3697.38</f>
        <v>4033.86</v>
      </c>
      <c r="J54" s="5">
        <v>4123.6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v>0</v>
      </c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s="37" customFormat="1" ht="76.5" customHeight="1" outlineLevel="2">
      <c r="A55" s="11" t="s">
        <v>37</v>
      </c>
      <c r="B55" s="1" t="s">
        <v>80</v>
      </c>
      <c r="C55" s="2" t="s">
        <v>12</v>
      </c>
      <c r="D55" s="3">
        <v>2011</v>
      </c>
      <c r="E55" s="4">
        <v>2012</v>
      </c>
      <c r="F55" s="4">
        <v>852</v>
      </c>
      <c r="G55" s="4">
        <v>85219</v>
      </c>
      <c r="H55" s="5">
        <f>SUM(I55:R55)</f>
        <v>2656.8</v>
      </c>
      <c r="I55" s="5">
        <v>1328.4</v>
      </c>
      <c r="J55" s="5">
        <v>1328.4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v>0</v>
      </c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s="41" customFormat="1" ht="50.25" customHeight="1" outlineLevel="2">
      <c r="A56" s="11" t="s">
        <v>38</v>
      </c>
      <c r="B56" s="1" t="s">
        <v>79</v>
      </c>
      <c r="C56" s="55" t="s">
        <v>12</v>
      </c>
      <c r="D56" s="3">
        <v>2011</v>
      </c>
      <c r="E56" s="4">
        <v>2013</v>
      </c>
      <c r="F56" s="4">
        <v>852</v>
      </c>
      <c r="G56" s="4">
        <v>85203</v>
      </c>
      <c r="H56" s="47">
        <f aca="true" t="shared" si="18" ref="H56:H71">SUM(I56:R56)</f>
        <v>242.16</v>
      </c>
      <c r="I56" s="47">
        <v>40.36</v>
      </c>
      <c r="J56" s="47">
        <v>121.08</v>
      </c>
      <c r="K56" s="47">
        <v>80.72</v>
      </c>
      <c r="L56" s="47">
        <v>0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>
        <v>0</v>
      </c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s="41" customFormat="1" ht="47.25" customHeight="1" outlineLevel="2">
      <c r="A57" s="11" t="s">
        <v>39</v>
      </c>
      <c r="B57" s="1" t="s">
        <v>79</v>
      </c>
      <c r="C57" s="2" t="s">
        <v>12</v>
      </c>
      <c r="D57" s="3">
        <v>2011</v>
      </c>
      <c r="E57" s="4">
        <v>2013</v>
      </c>
      <c r="F57" s="4">
        <v>852</v>
      </c>
      <c r="G57" s="4">
        <v>85212</v>
      </c>
      <c r="H57" s="5">
        <f t="shared" si="18"/>
        <v>3881.88</v>
      </c>
      <c r="I57" s="5">
        <v>594.09</v>
      </c>
      <c r="J57" s="5">
        <v>2248.44</v>
      </c>
      <c r="K57" s="5">
        <v>1039.35</v>
      </c>
      <c r="L57" s="5"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v>0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s="41" customFormat="1" ht="92.25" customHeight="1" outlineLevel="2">
      <c r="A58" s="11" t="s">
        <v>40</v>
      </c>
      <c r="B58" s="1" t="s">
        <v>99</v>
      </c>
      <c r="C58" s="48" t="s">
        <v>13</v>
      </c>
      <c r="D58" s="3">
        <v>2009</v>
      </c>
      <c r="E58" s="4">
        <v>2012</v>
      </c>
      <c r="F58" s="4">
        <v>600</v>
      </c>
      <c r="G58" s="4">
        <v>60004</v>
      </c>
      <c r="H58" s="5">
        <f t="shared" si="18"/>
        <v>24916667</v>
      </c>
      <c r="I58" s="5">
        <f>11916667+6500000</f>
        <v>18416667</v>
      </c>
      <c r="J58" s="5">
        <v>6500000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v>0</v>
      </c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s="41" customFormat="1" ht="64.5" customHeight="1" outlineLevel="2">
      <c r="A59" s="11" t="s">
        <v>41</v>
      </c>
      <c r="B59" s="1" t="s">
        <v>98</v>
      </c>
      <c r="C59" s="48" t="s">
        <v>15</v>
      </c>
      <c r="D59" s="3">
        <v>2010</v>
      </c>
      <c r="E59" s="4">
        <v>2012</v>
      </c>
      <c r="F59" s="4">
        <v>853</v>
      </c>
      <c r="G59" s="4">
        <v>85305</v>
      </c>
      <c r="H59" s="5">
        <f t="shared" si="18"/>
        <v>2412.63</v>
      </c>
      <c r="I59" s="5">
        <f>1060.63+1100</f>
        <v>2160.63</v>
      </c>
      <c r="J59" s="5">
        <v>252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v>0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s="41" customFormat="1" ht="77.25" customHeight="1" outlineLevel="2">
      <c r="A60" s="11" t="s">
        <v>42</v>
      </c>
      <c r="B60" s="1" t="s">
        <v>97</v>
      </c>
      <c r="C60" s="48" t="s">
        <v>16</v>
      </c>
      <c r="D60" s="3">
        <v>2009</v>
      </c>
      <c r="E60" s="4">
        <v>2012</v>
      </c>
      <c r="F60" s="4">
        <v>710</v>
      </c>
      <c r="G60" s="4">
        <v>71095</v>
      </c>
      <c r="H60" s="5">
        <f t="shared" si="18"/>
        <v>14096.5</v>
      </c>
      <c r="I60" s="5">
        <v>6814.9</v>
      </c>
      <c r="J60" s="5">
        <f>196.8+2164.8</f>
        <v>2361.6000000000004</v>
      </c>
      <c r="K60" s="5">
        <v>2361.6</v>
      </c>
      <c r="L60" s="5">
        <v>2361.6</v>
      </c>
      <c r="M60" s="5">
        <v>196.8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4">
        <v>9360.8</v>
      </c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s="41" customFormat="1" ht="64.5" customHeight="1" outlineLevel="2">
      <c r="A61" s="11" t="s">
        <v>43</v>
      </c>
      <c r="B61" s="1" t="s">
        <v>96</v>
      </c>
      <c r="C61" s="48" t="s">
        <v>16</v>
      </c>
      <c r="D61" s="3">
        <v>2011</v>
      </c>
      <c r="E61" s="4">
        <v>2012</v>
      </c>
      <c r="F61" s="4">
        <v>710</v>
      </c>
      <c r="G61" s="4">
        <v>71095</v>
      </c>
      <c r="H61" s="5">
        <f t="shared" si="18"/>
        <v>427.98</v>
      </c>
      <c r="I61" s="5">
        <f>186.48</f>
        <v>186.48</v>
      </c>
      <c r="J61" s="5">
        <v>241.5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v>241.5</v>
      </c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s="41" customFormat="1" ht="105.75" customHeight="1" outlineLevel="2">
      <c r="A62" s="11" t="s">
        <v>44</v>
      </c>
      <c r="B62" s="1" t="s">
        <v>95</v>
      </c>
      <c r="C62" s="2" t="s">
        <v>17</v>
      </c>
      <c r="D62" s="3">
        <v>2011</v>
      </c>
      <c r="E62" s="4">
        <v>2015</v>
      </c>
      <c r="F62" s="4">
        <v>852</v>
      </c>
      <c r="G62" s="4">
        <v>85202</v>
      </c>
      <c r="H62" s="5">
        <f>SUM(I62:R62)</f>
        <v>10000</v>
      </c>
      <c r="I62" s="5">
        <v>2700</v>
      </c>
      <c r="J62" s="5">
        <v>5000</v>
      </c>
      <c r="K62" s="5">
        <v>2300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v>7300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s="41" customFormat="1" ht="78" customHeight="1" outlineLevel="2">
      <c r="A63" s="11" t="s">
        <v>45</v>
      </c>
      <c r="B63" s="1" t="s">
        <v>115</v>
      </c>
      <c r="C63" s="2" t="s">
        <v>17</v>
      </c>
      <c r="D63" s="3">
        <v>2012</v>
      </c>
      <c r="E63" s="4">
        <v>2014</v>
      </c>
      <c r="F63" s="4">
        <v>852</v>
      </c>
      <c r="G63" s="4">
        <v>85202</v>
      </c>
      <c r="H63" s="5">
        <f t="shared" si="18"/>
        <v>3600</v>
      </c>
      <c r="I63" s="5">
        <v>0</v>
      </c>
      <c r="J63" s="5">
        <v>300</v>
      </c>
      <c r="K63" s="5">
        <v>1800</v>
      </c>
      <c r="L63" s="5">
        <v>1500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3600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s="41" customFormat="1" ht="66.75" customHeight="1" outlineLevel="2">
      <c r="A64" s="11" t="s">
        <v>46</v>
      </c>
      <c r="B64" s="1" t="s">
        <v>94</v>
      </c>
      <c r="C64" s="2" t="s">
        <v>18</v>
      </c>
      <c r="D64" s="3">
        <v>2009</v>
      </c>
      <c r="E64" s="4">
        <v>2014</v>
      </c>
      <c r="F64" s="4">
        <v>754</v>
      </c>
      <c r="G64" s="4">
        <v>75411</v>
      </c>
      <c r="H64" s="5">
        <f>SUM(I64:R64)</f>
        <v>60000</v>
      </c>
      <c r="I64" s="5">
        <f>4473+7471.32+10500</f>
        <v>22444.32</v>
      </c>
      <c r="J64" s="5">
        <v>15000</v>
      </c>
      <c r="K64" s="5">
        <v>15000</v>
      </c>
      <c r="L64" s="56">
        <v>7555.68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v>0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68" s="41" customFormat="1" ht="51.75" customHeight="1" outlineLevel="2">
      <c r="A65" s="11" t="s">
        <v>47</v>
      </c>
      <c r="B65" s="1" t="s">
        <v>93</v>
      </c>
      <c r="C65" s="48" t="s">
        <v>19</v>
      </c>
      <c r="D65" s="3">
        <v>2010</v>
      </c>
      <c r="E65" s="4">
        <v>2012</v>
      </c>
      <c r="F65" s="4">
        <v>801</v>
      </c>
      <c r="G65" s="4">
        <v>80130</v>
      </c>
      <c r="H65" s="5">
        <f t="shared" si="18"/>
        <v>2621.0499999999997</v>
      </c>
      <c r="I65" s="5">
        <v>2073.7</v>
      </c>
      <c r="J65" s="5">
        <v>547.35</v>
      </c>
      <c r="K65" s="5"/>
      <c r="L65" s="5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0</v>
      </c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</row>
    <row r="66" spans="1:68" s="41" customFormat="1" ht="76.5" customHeight="1" outlineLevel="2">
      <c r="A66" s="11" t="s">
        <v>48</v>
      </c>
      <c r="B66" s="1" t="s">
        <v>92</v>
      </c>
      <c r="C66" s="48" t="s">
        <v>20</v>
      </c>
      <c r="D66" s="3">
        <v>2010</v>
      </c>
      <c r="E66" s="4">
        <v>2012</v>
      </c>
      <c r="F66" s="4">
        <v>801</v>
      </c>
      <c r="G66" s="4">
        <v>80130</v>
      </c>
      <c r="H66" s="5">
        <f t="shared" si="18"/>
        <v>7659.6</v>
      </c>
      <c r="I66" s="5">
        <f>1903.2+3837.6</f>
        <v>5740.8</v>
      </c>
      <c r="J66" s="5">
        <v>1918.8</v>
      </c>
      <c r="K66" s="5"/>
      <c r="L66" s="5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>
        <v>1918.8</v>
      </c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</row>
    <row r="67" spans="1:68" s="41" customFormat="1" ht="65.25" customHeight="1" outlineLevel="2">
      <c r="A67" s="11" t="s">
        <v>49</v>
      </c>
      <c r="B67" s="1" t="s">
        <v>91</v>
      </c>
      <c r="C67" s="57" t="s">
        <v>21</v>
      </c>
      <c r="D67" s="3">
        <v>2003</v>
      </c>
      <c r="E67" s="4">
        <v>2016</v>
      </c>
      <c r="F67" s="4">
        <v>801</v>
      </c>
      <c r="G67" s="4">
        <v>80130</v>
      </c>
      <c r="H67" s="5">
        <f t="shared" si="18"/>
        <v>10284</v>
      </c>
      <c r="I67" s="5">
        <f>5124+732+738</f>
        <v>6594</v>
      </c>
      <c r="J67" s="5">
        <v>738</v>
      </c>
      <c r="K67" s="5">
        <v>738</v>
      </c>
      <c r="L67" s="5">
        <v>738</v>
      </c>
      <c r="M67" s="5">
        <v>738</v>
      </c>
      <c r="N67" s="5">
        <v>738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>
        <v>3690</v>
      </c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</row>
    <row r="68" spans="1:68" s="41" customFormat="1" ht="107.25" customHeight="1" outlineLevel="2">
      <c r="A68" s="11" t="s">
        <v>50</v>
      </c>
      <c r="B68" s="1" t="s">
        <v>116</v>
      </c>
      <c r="C68" s="2" t="s">
        <v>114</v>
      </c>
      <c r="D68" s="3">
        <v>2011</v>
      </c>
      <c r="E68" s="4">
        <v>2013</v>
      </c>
      <c r="F68" s="4">
        <v>852</v>
      </c>
      <c r="G68" s="4">
        <v>85201</v>
      </c>
      <c r="H68" s="5">
        <f t="shared" si="18"/>
        <v>1416</v>
      </c>
      <c r="I68" s="5">
        <v>70.8</v>
      </c>
      <c r="J68" s="5">
        <v>708</v>
      </c>
      <c r="K68" s="5">
        <v>637.2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v>0</v>
      </c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s="41" customFormat="1" ht="66" customHeight="1" outlineLevel="2">
      <c r="A69" s="11" t="s">
        <v>51</v>
      </c>
      <c r="B69" s="7" t="s">
        <v>90</v>
      </c>
      <c r="C69" s="48" t="s">
        <v>22</v>
      </c>
      <c r="D69" s="3">
        <v>2010</v>
      </c>
      <c r="E69" s="4">
        <v>2012</v>
      </c>
      <c r="F69" s="4">
        <v>852</v>
      </c>
      <c r="G69" s="4">
        <v>85201</v>
      </c>
      <c r="H69" s="5">
        <f t="shared" si="18"/>
        <v>2332.58</v>
      </c>
      <c r="I69" s="5">
        <f>1045.91+1166.04</f>
        <v>2211.95</v>
      </c>
      <c r="J69" s="5">
        <v>120.63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>
        <v>0</v>
      </c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</row>
    <row r="70" spans="1:68" s="41" customFormat="1" ht="75" customHeight="1" outlineLevel="2">
      <c r="A70" s="11" t="s">
        <v>52</v>
      </c>
      <c r="B70" s="7" t="s">
        <v>89</v>
      </c>
      <c r="C70" s="48" t="s">
        <v>23</v>
      </c>
      <c r="D70" s="3">
        <v>2010</v>
      </c>
      <c r="E70" s="4">
        <v>2012</v>
      </c>
      <c r="F70" s="4">
        <v>801</v>
      </c>
      <c r="G70" s="4">
        <v>80102</v>
      </c>
      <c r="H70" s="5">
        <f t="shared" si="18"/>
        <v>1353.2</v>
      </c>
      <c r="I70" s="5">
        <f>438.08+457.56</f>
        <v>895.64</v>
      </c>
      <c r="J70" s="5">
        <v>457.56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457.56</v>
      </c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</row>
    <row r="71" spans="1:68" s="41" customFormat="1" ht="77.25" customHeight="1" outlineLevel="2">
      <c r="A71" s="11" t="s">
        <v>53</v>
      </c>
      <c r="B71" s="7" t="s">
        <v>89</v>
      </c>
      <c r="C71" s="48" t="s">
        <v>23</v>
      </c>
      <c r="D71" s="3">
        <v>2010</v>
      </c>
      <c r="E71" s="4">
        <v>2012</v>
      </c>
      <c r="F71" s="4">
        <v>801</v>
      </c>
      <c r="G71" s="4">
        <v>80111</v>
      </c>
      <c r="H71" s="5">
        <f t="shared" si="18"/>
        <v>1130.22</v>
      </c>
      <c r="I71" s="5">
        <f>215.1+457.56</f>
        <v>672.66</v>
      </c>
      <c r="J71" s="5">
        <v>457.56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>
        <v>457.56</v>
      </c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 s="41" customFormat="1" ht="78.75" customHeight="1" outlineLevel="2">
      <c r="A72" s="11" t="s">
        <v>126</v>
      </c>
      <c r="B72" s="7" t="s">
        <v>89</v>
      </c>
      <c r="C72" s="48" t="s">
        <v>23</v>
      </c>
      <c r="D72" s="3">
        <v>2010</v>
      </c>
      <c r="E72" s="4">
        <v>2012</v>
      </c>
      <c r="F72" s="4">
        <v>854</v>
      </c>
      <c r="G72" s="4">
        <v>85403</v>
      </c>
      <c r="H72" s="5">
        <f>SUM(I72:R72)</f>
        <v>2172.36</v>
      </c>
      <c r="I72" s="5">
        <f>647.16+915.12</f>
        <v>1562.28</v>
      </c>
      <c r="J72" s="5">
        <v>610.08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v>610.08</v>
      </c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68" ht="16.5" customHeight="1" outlineLevel="1">
      <c r="A73" s="12"/>
      <c r="B73" s="111" t="s">
        <v>65</v>
      </c>
      <c r="C73" s="111"/>
      <c r="D73" s="111"/>
      <c r="E73" s="111"/>
      <c r="F73" s="111"/>
      <c r="G73" s="111"/>
      <c r="H73" s="14">
        <v>0</v>
      </c>
      <c r="I73" s="14">
        <v>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>
        <v>0</v>
      </c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</row>
    <row r="74" spans="1:29" ht="31.5" customHeight="1">
      <c r="A74" s="12" t="s">
        <v>78</v>
      </c>
      <c r="B74" s="103" t="s">
        <v>71</v>
      </c>
      <c r="C74" s="104"/>
      <c r="D74" s="104"/>
      <c r="E74" s="104"/>
      <c r="F74" s="104"/>
      <c r="G74" s="105"/>
      <c r="H74" s="14">
        <v>0</v>
      </c>
      <c r="I74" s="14">
        <v>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>
        <v>0</v>
      </c>
    </row>
    <row r="75" spans="1:29" ht="16.5" customHeight="1" hidden="1" outlineLevel="1" collapsed="1">
      <c r="A75" s="12"/>
      <c r="B75" s="111" t="s">
        <v>64</v>
      </c>
      <c r="C75" s="111"/>
      <c r="D75" s="111"/>
      <c r="E75" s="111"/>
      <c r="F75" s="111"/>
      <c r="G75" s="111"/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>
        <v>0</v>
      </c>
    </row>
    <row r="76" spans="1:29" s="18" customFormat="1" ht="15" hidden="1" outlineLevel="2">
      <c r="A76" s="11"/>
      <c r="B76" s="17" t="s">
        <v>9</v>
      </c>
      <c r="C76" s="30"/>
      <c r="D76" s="16"/>
      <c r="E76" s="17"/>
      <c r="F76" s="112" t="s">
        <v>0</v>
      </c>
      <c r="G76" s="11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s="18" customFormat="1" ht="15" hidden="1" outlineLevel="2">
      <c r="A77" s="11"/>
      <c r="B77" s="31" t="s">
        <v>10</v>
      </c>
      <c r="C77" s="113"/>
      <c r="D77" s="16"/>
      <c r="E77" s="17"/>
      <c r="F77" s="112" t="s">
        <v>0</v>
      </c>
      <c r="G77" s="11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5.75" hidden="1" outlineLevel="2">
      <c r="A78" s="12"/>
      <c r="B78" s="32"/>
      <c r="C78" s="114"/>
      <c r="D78" s="33"/>
      <c r="E78" s="34"/>
      <c r="F78" s="35"/>
      <c r="G78" s="35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5" customHeight="1" collapsed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ht="1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1:29" ht="33.7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1:29" ht="1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:29" ht="1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:29" ht="1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:29" ht="1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:29" ht="1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1:29" ht="1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1:29" ht="1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1:29" ht="15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</row>
    <row r="90" spans="1:29" ht="14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</sheetData>
  <sheetProtection/>
  <mergeCells count="46">
    <mergeCell ref="I4:J4"/>
    <mergeCell ref="A5:AC5"/>
    <mergeCell ref="A7:A8"/>
    <mergeCell ref="B7:B8"/>
    <mergeCell ref="C7:C8"/>
    <mergeCell ref="D7:E7"/>
    <mergeCell ref="F7:G7"/>
    <mergeCell ref="H7:H8"/>
    <mergeCell ref="I7:I8"/>
    <mergeCell ref="J7:AB7"/>
    <mergeCell ref="AC7:AC8"/>
    <mergeCell ref="B10:G10"/>
    <mergeCell ref="B11:G11"/>
    <mergeCell ref="B12:G12"/>
    <mergeCell ref="B13:G13"/>
    <mergeCell ref="B14:G14"/>
    <mergeCell ref="B15:G15"/>
    <mergeCell ref="B16:G16"/>
    <mergeCell ref="B17:G17"/>
    <mergeCell ref="B19:G19"/>
    <mergeCell ref="B25:G25"/>
    <mergeCell ref="B26:G26"/>
    <mergeCell ref="B27:G27"/>
    <mergeCell ref="B28:G28"/>
    <mergeCell ref="B29:G29"/>
    <mergeCell ref="B32:G32"/>
    <mergeCell ref="B40:G40"/>
    <mergeCell ref="B41:G41"/>
    <mergeCell ref="B73:G73"/>
    <mergeCell ref="B74:G74"/>
    <mergeCell ref="B75:G75"/>
    <mergeCell ref="F76:G76"/>
    <mergeCell ref="C77:C78"/>
    <mergeCell ref="F77:G77"/>
    <mergeCell ref="A79:AC79"/>
    <mergeCell ref="A80:AC80"/>
    <mergeCell ref="A81:AC81"/>
    <mergeCell ref="A82:AC82"/>
    <mergeCell ref="A83:AC83"/>
    <mergeCell ref="A84:AC84"/>
    <mergeCell ref="A85:AC85"/>
    <mergeCell ref="A86:AC86"/>
    <mergeCell ref="A87:AC87"/>
    <mergeCell ref="A88:AC88"/>
    <mergeCell ref="A89:AC89"/>
    <mergeCell ref="A90:AC9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UM w Piotrkowie Tryb.</cp:lastModifiedBy>
  <cp:lastPrinted>2011-12-21T10:48:45Z</cp:lastPrinted>
  <dcterms:created xsi:type="dcterms:W3CDTF">2010-09-17T02:30:46Z</dcterms:created>
  <dcterms:modified xsi:type="dcterms:W3CDTF">2012-01-10T08:32:44Z</dcterms:modified>
  <cp:category/>
  <cp:version/>
  <cp:contentType/>
  <cp:contentStatus/>
</cp:coreProperties>
</file>