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 activeTab="1"/>
  </bookViews>
  <sheets>
    <sheet name="Wydatki jednostek oświatowych" sheetId="13" r:id="rId1"/>
    <sheet name="zbio" sheetId="12" r:id="rId2"/>
  </sheets>
  <definedNames>
    <definedName name="_xlnm.Print_Area" localSheetId="1">zbio!$A$1:$E$36</definedName>
  </definedNames>
  <calcPr calcId="125725"/>
</workbook>
</file>

<file path=xl/calcChain.xml><?xml version="1.0" encoding="utf-8"?>
<calcChain xmlns="http://schemas.openxmlformats.org/spreadsheetml/2006/main">
  <c r="D49" i="13"/>
  <c r="C49"/>
  <c r="D48"/>
  <c r="C48"/>
  <c r="D36"/>
  <c r="C36"/>
  <c r="D37"/>
  <c r="C37"/>
  <c r="D34"/>
  <c r="D19"/>
  <c r="C19"/>
  <c r="D17"/>
  <c r="C13"/>
  <c r="C12"/>
  <c r="D9"/>
  <c r="D7"/>
  <c r="C7"/>
  <c r="D13" i="12"/>
  <c r="C13"/>
  <c r="E17"/>
  <c r="C16"/>
  <c r="D16"/>
  <c r="D15"/>
  <c r="C15"/>
  <c r="D18" i="13"/>
  <c r="C18"/>
  <c r="C17"/>
  <c r="D16"/>
  <c r="C16"/>
  <c r="D15"/>
  <c r="C15"/>
  <c r="D14"/>
  <c r="C14"/>
  <c r="D13"/>
  <c r="D12"/>
  <c r="D11"/>
  <c r="C11"/>
  <c r="D10"/>
  <c r="C10"/>
  <c r="C9"/>
  <c r="D8"/>
  <c r="C8"/>
  <c r="D46"/>
  <c r="C46"/>
  <c r="C45"/>
  <c r="C43"/>
  <c r="D42"/>
  <c r="C42"/>
  <c r="D41"/>
  <c r="C41"/>
  <c r="D40"/>
  <c r="C40"/>
  <c r="D39"/>
  <c r="C39"/>
  <c r="D38"/>
  <c r="C38"/>
  <c r="D35"/>
  <c r="C35"/>
  <c r="C34"/>
  <c r="D30" i="12"/>
  <c r="C30"/>
  <c r="C14"/>
  <c r="E15"/>
  <c r="E16"/>
  <c r="C18"/>
  <c r="C19"/>
  <c r="D19"/>
  <c r="D18"/>
  <c r="E18"/>
  <c r="E20"/>
  <c r="E21"/>
  <c r="E22"/>
  <c r="C27"/>
  <c r="D27"/>
  <c r="E27"/>
  <c r="E28"/>
  <c r="E29"/>
  <c r="E30"/>
  <c r="C31"/>
  <c r="E31"/>
  <c r="D31"/>
  <c r="E7" i="13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C11" i="12"/>
  <c r="D11"/>
  <c r="D12"/>
  <c r="D10" s="1"/>
  <c r="K23"/>
  <c r="D14"/>
  <c r="E14"/>
  <c r="E19"/>
  <c r="E49" i="13"/>
  <c r="C12" i="12"/>
  <c r="E12"/>
  <c r="C50" i="13"/>
  <c r="E48"/>
  <c r="D50"/>
  <c r="E11" i="12"/>
  <c r="C10"/>
  <c r="E13"/>
  <c r="E50" i="13"/>
  <c r="C23" i="12"/>
  <c r="C34" s="1"/>
  <c r="C33"/>
  <c r="D23" l="1"/>
  <c r="E10"/>
  <c r="D33" l="1"/>
  <c r="E33" s="1"/>
  <c r="E23"/>
  <c r="D34"/>
  <c r="E34" s="1"/>
</calcChain>
</file>

<file path=xl/sharedStrings.xml><?xml version="1.0" encoding="utf-8"?>
<sst xmlns="http://schemas.openxmlformats.org/spreadsheetml/2006/main" count="139" uniqueCount="123">
  <si>
    <t>1.</t>
  </si>
  <si>
    <t>2.</t>
  </si>
  <si>
    <t>3.</t>
  </si>
  <si>
    <t>RAZEM</t>
  </si>
  <si>
    <t>4.</t>
  </si>
  <si>
    <t>5.</t>
  </si>
  <si>
    <t>6.</t>
  </si>
  <si>
    <t>Subwencja oświatowa</t>
  </si>
  <si>
    <t>WYDATKI</t>
  </si>
  <si>
    <t>Lp.</t>
  </si>
  <si>
    <t>Nazwa</t>
  </si>
  <si>
    <t>Jednostki oświatowe gminne</t>
  </si>
  <si>
    <t>Jednostki oświatowe powiatowe</t>
  </si>
  <si>
    <t>Jednostki oświatowe razem</t>
  </si>
  <si>
    <t xml:space="preserve">inwestycje </t>
  </si>
  <si>
    <t>Dotacje</t>
  </si>
  <si>
    <t>I.</t>
  </si>
  <si>
    <t>II.</t>
  </si>
  <si>
    <t>Urząd Miasta</t>
  </si>
  <si>
    <t>dotacje dla szkół niepublicznych</t>
  </si>
  <si>
    <t>pozostałe zadania oświatowe</t>
  </si>
  <si>
    <t>dochody - wydatki z przedszkolami</t>
  </si>
  <si>
    <t>dochody - wydatki bez przedszkoli</t>
  </si>
  <si>
    <t>Dochody jednostek oświatowych</t>
  </si>
  <si>
    <t>%                                                                                                                                                                                                                           wykon.</t>
  </si>
  <si>
    <t xml:space="preserve">Biuro Rady Miasta </t>
  </si>
  <si>
    <t>Referat Edukacji</t>
  </si>
  <si>
    <t>Biuro Inwestycji i Remontów</t>
  </si>
  <si>
    <t>WYDATKI DOTYCZĄCE OŚWIATY I EDUKACYJNEJ OPIEKI WYCHOWAWCZEJ Z PODZIAŁEM NA JEDNOSTKI I KOMÓRKI ORGANIZACYJNE</t>
  </si>
  <si>
    <t>DOCHODY WG ŹRÓDEŁ</t>
  </si>
  <si>
    <t>Tabela nr 10</t>
  </si>
  <si>
    <t>WYDATKI JEDNOSTEK OŚWIATOWYCH</t>
  </si>
  <si>
    <t>Szkoła</t>
  </si>
  <si>
    <t>4:3</t>
  </si>
  <si>
    <t>Szkoła Podstawowa Nr 2</t>
  </si>
  <si>
    <t>Szkoła Podstawowa Nr 5</t>
  </si>
  <si>
    <t>Szkoła Podstawowa Nr 8</t>
  </si>
  <si>
    <t>Szkoła Podstawowa Nr 10</t>
  </si>
  <si>
    <t>Szkoła Podstawowa Nr 11</t>
  </si>
  <si>
    <t>Szkoła Podstawowa Nr 12</t>
  </si>
  <si>
    <t>7.</t>
  </si>
  <si>
    <t>Szkoła Podstawowa Nr 13</t>
  </si>
  <si>
    <t>8.</t>
  </si>
  <si>
    <t>Szkoła Podstawowa Nr 16</t>
  </si>
  <si>
    <t>9.</t>
  </si>
  <si>
    <t>Zespół Szkolno-Gimnazjalny Nr 1</t>
  </si>
  <si>
    <t>10.</t>
  </si>
  <si>
    <t>Gimnazjum Nr 1</t>
  </si>
  <si>
    <t>11.</t>
  </si>
  <si>
    <t>Gimnazjum Nr 2</t>
  </si>
  <si>
    <t>12.</t>
  </si>
  <si>
    <t>Gimnazjum Nr 4</t>
  </si>
  <si>
    <t>13.</t>
  </si>
  <si>
    <t>Gimnazjum Nr 5</t>
  </si>
  <si>
    <t>14.</t>
  </si>
  <si>
    <t>Przedszkole Samorządowe Nr 1</t>
  </si>
  <si>
    <t>15.</t>
  </si>
  <si>
    <t>Przedszkole Samorządowe Nr 5</t>
  </si>
  <si>
    <t>16.</t>
  </si>
  <si>
    <t>Przedszkole Samorządowe Nr 7</t>
  </si>
  <si>
    <t>17.</t>
  </si>
  <si>
    <t>Przedszkole Samorządowe Nr 8</t>
  </si>
  <si>
    <t>18.</t>
  </si>
  <si>
    <t>Przedszkole Samorządowe Nr 11</t>
  </si>
  <si>
    <t>19.</t>
  </si>
  <si>
    <t>Przedszkole Samorządowe Nr 12</t>
  </si>
  <si>
    <t>20.</t>
  </si>
  <si>
    <t>Przedszkole Samorządowe Nr 14</t>
  </si>
  <si>
    <t>21.</t>
  </si>
  <si>
    <t>Przedszkole Samorządowe Nr 15</t>
  </si>
  <si>
    <t>22.</t>
  </si>
  <si>
    <t>Przedszkole Samorządowe Nr 16</t>
  </si>
  <si>
    <t>23.</t>
  </si>
  <si>
    <t>Przedszkole Samorządowe Nr 19</t>
  </si>
  <si>
    <t>24.</t>
  </si>
  <si>
    <t>Przedszkole Samorządowe Nr 20</t>
  </si>
  <si>
    <t>25.</t>
  </si>
  <si>
    <t xml:space="preserve">Przedszkole Samorządowe Nr 24 </t>
  </si>
  <si>
    <t>26.</t>
  </si>
  <si>
    <t>Przedszkole Samorządowe Nr 26</t>
  </si>
  <si>
    <t>27.</t>
  </si>
  <si>
    <t>28.</t>
  </si>
  <si>
    <t>MZEA</t>
  </si>
  <si>
    <t>29.</t>
  </si>
  <si>
    <t>I LO</t>
  </si>
  <si>
    <t>30.</t>
  </si>
  <si>
    <t>II LO</t>
  </si>
  <si>
    <t>31.</t>
  </si>
  <si>
    <t>III LO</t>
  </si>
  <si>
    <t>32.</t>
  </si>
  <si>
    <t>IV LO</t>
  </si>
  <si>
    <t>33.</t>
  </si>
  <si>
    <t>ZSP Nr 1</t>
  </si>
  <si>
    <t>34.</t>
  </si>
  <si>
    <t>ZSP Nr 2</t>
  </si>
  <si>
    <t>35.</t>
  </si>
  <si>
    <t>36.</t>
  </si>
  <si>
    <t>ZSP Nr 4</t>
  </si>
  <si>
    <t>37.</t>
  </si>
  <si>
    <t>ZSP Nr 5</t>
  </si>
  <si>
    <t>38.</t>
  </si>
  <si>
    <t>ZSP Nr 6</t>
  </si>
  <si>
    <t>39.</t>
  </si>
  <si>
    <t>CKP</t>
  </si>
  <si>
    <t>40.</t>
  </si>
  <si>
    <t>Poradnia Psychologiczno - Pedagogiczna</t>
  </si>
  <si>
    <t>SOSz-W</t>
  </si>
  <si>
    <t>I</t>
  </si>
  <si>
    <t>GMINA</t>
  </si>
  <si>
    <t>II</t>
  </si>
  <si>
    <t>POWIAT</t>
  </si>
  <si>
    <t>III</t>
  </si>
  <si>
    <t>Środki pochodzące z budżetu UE</t>
  </si>
  <si>
    <t>Plan na 2010 r.</t>
  </si>
  <si>
    <t>ZSPiPOW Nr 3</t>
  </si>
  <si>
    <t>Referat Administracji i Majątku</t>
  </si>
  <si>
    <t>Referat Dochodów</t>
  </si>
  <si>
    <t>Tabela nr 9</t>
  </si>
  <si>
    <t>Wykonanie                       za 2010 r.</t>
  </si>
  <si>
    <t>Wykonanie za       2010 r.</t>
  </si>
  <si>
    <t>RAZEM I + II</t>
  </si>
  <si>
    <t>Dochody oswiaty</t>
  </si>
  <si>
    <t>Pełnomocnik ds. Profilaktyki i Rozwiązywania Problemów Alkoholowych. Zdrowia i Pomocy Społecznej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</si>
</sst>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9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Arial CE"/>
      <family val="2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Arial CE"/>
      <family val="2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4" fontId="5" fillId="0" borderId="0" xfId="0" applyNumberFormat="1" applyFont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4" fontId="6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/>
    </xf>
    <xf numFmtId="4" fontId="5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horizontal="left" vertical="center"/>
    </xf>
    <xf numFmtId="4" fontId="5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left" vertical="center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4" fontId="18" fillId="0" borderId="0" xfId="1" applyNumberFormat="1" applyFont="1" applyFill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Alignment="1">
      <alignment horizontal="right" vertical="center" wrapText="1"/>
    </xf>
    <xf numFmtId="4" fontId="18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6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4" fontId="5" fillId="3" borderId="0" xfId="0" applyNumberFormat="1" applyFont="1" applyFill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6" fillId="3" borderId="9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right" vertical="center" wrapText="1"/>
    </xf>
    <xf numFmtId="4" fontId="15" fillId="3" borderId="0" xfId="0" applyNumberFormat="1" applyFont="1" applyFill="1" applyAlignment="1">
      <alignment horizontal="right"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" fontId="7" fillId="3" borderId="0" xfId="0" applyNumberFormat="1" applyFont="1" applyFill="1" applyBorder="1" applyAlignment="1">
      <alignment vertical="center"/>
    </xf>
    <xf numFmtId="4" fontId="17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H55" sqref="H55"/>
    </sheetView>
  </sheetViews>
  <sheetFormatPr defaultRowHeight="12.75"/>
  <cols>
    <col min="1" max="1" width="6" style="58" customWidth="1"/>
    <col min="2" max="2" width="38.5703125" style="58" customWidth="1"/>
    <col min="3" max="3" width="20.28515625" style="59" customWidth="1"/>
    <col min="4" max="4" width="21" style="59" customWidth="1"/>
    <col min="5" max="5" width="9" style="58" customWidth="1"/>
    <col min="6" max="6" width="4.28515625" style="58" customWidth="1"/>
    <col min="7" max="7" width="18.5703125" style="57" customWidth="1"/>
    <col min="8" max="8" width="15.28515625" style="57" customWidth="1"/>
    <col min="9" max="9" width="19" style="57" customWidth="1"/>
    <col min="10" max="10" width="16.28515625" style="57" customWidth="1"/>
    <col min="11" max="16384" width="9.140625" style="57"/>
  </cols>
  <sheetData>
    <row r="1" spans="1:10" ht="15">
      <c r="A1" s="146"/>
      <c r="B1" s="146"/>
      <c r="C1" s="146"/>
      <c r="D1" s="146"/>
      <c r="E1" s="146"/>
      <c r="F1" s="146"/>
    </row>
    <row r="2" spans="1:10" ht="12.75" customHeight="1">
      <c r="A2" s="114"/>
      <c r="B2" s="114"/>
      <c r="C2" s="115"/>
      <c r="D2" s="147" t="s">
        <v>30</v>
      </c>
      <c r="E2" s="147"/>
      <c r="F2" s="114"/>
    </row>
    <row r="3" spans="1:10" ht="15" customHeight="1">
      <c r="A3" s="148" t="s">
        <v>31</v>
      </c>
      <c r="B3" s="148"/>
      <c r="C3" s="148"/>
      <c r="D3" s="148"/>
      <c r="E3" s="148"/>
      <c r="F3" s="116"/>
    </row>
    <row r="4" spans="1:10" ht="13.5" customHeight="1">
      <c r="A4" s="114"/>
      <c r="B4" s="117"/>
      <c r="C4" s="118"/>
      <c r="D4" s="115"/>
      <c r="E4" s="114"/>
      <c r="F4" s="116"/>
    </row>
    <row r="5" spans="1:10" s="60" customFormat="1" ht="46.5" customHeight="1">
      <c r="A5" s="119" t="s">
        <v>9</v>
      </c>
      <c r="B5" s="120" t="s">
        <v>32</v>
      </c>
      <c r="C5" s="119" t="s">
        <v>113</v>
      </c>
      <c r="D5" s="121" t="s">
        <v>118</v>
      </c>
      <c r="E5" s="122" t="s">
        <v>33</v>
      </c>
      <c r="F5" s="114"/>
    </row>
    <row r="6" spans="1:10" s="61" customFormat="1" ht="10.5" customHeight="1">
      <c r="A6" s="123">
        <v>1</v>
      </c>
      <c r="B6" s="123">
        <v>2</v>
      </c>
      <c r="C6" s="123">
        <v>3</v>
      </c>
      <c r="D6" s="124">
        <v>4</v>
      </c>
      <c r="E6" s="123">
        <v>5</v>
      </c>
      <c r="F6" s="125"/>
    </row>
    <row r="7" spans="1:10" s="60" customFormat="1" ht="16.5" customHeight="1">
      <c r="A7" s="126" t="s">
        <v>0</v>
      </c>
      <c r="B7" s="127" t="s">
        <v>34</v>
      </c>
      <c r="C7" s="128">
        <f>1142242.96-12044</f>
        <v>1130198.96</v>
      </c>
      <c r="D7" s="129">
        <f>1138404.34-12043.7</f>
        <v>1126360.6400000001</v>
      </c>
      <c r="E7" s="130">
        <f t="shared" ref="E7:E50" si="0">D7/C7*100</f>
        <v>99.660385459919382</v>
      </c>
      <c r="F7" s="114"/>
    </row>
    <row r="8" spans="1:10" s="60" customFormat="1" ht="16.5" customHeight="1">
      <c r="A8" s="126" t="s">
        <v>1</v>
      </c>
      <c r="B8" s="127" t="s">
        <v>35</v>
      </c>
      <c r="C8" s="131">
        <f>2764411.54-17486</f>
        <v>2746925.54</v>
      </c>
      <c r="D8" s="131">
        <f>2748566.81-17448.86</f>
        <v>2731117.95</v>
      </c>
      <c r="E8" s="130">
        <f t="shared" si="0"/>
        <v>99.424535184160845</v>
      </c>
      <c r="F8" s="114"/>
      <c r="G8" s="64"/>
      <c r="H8" s="65"/>
      <c r="I8" s="66"/>
      <c r="J8" s="66"/>
    </row>
    <row r="9" spans="1:10" s="60" customFormat="1" ht="16.5" customHeight="1">
      <c r="A9" s="126" t="s">
        <v>2</v>
      </c>
      <c r="B9" s="127" t="s">
        <v>36</v>
      </c>
      <c r="C9" s="129">
        <f>1896114.78-13607</f>
        <v>1882507.78</v>
      </c>
      <c r="D9" s="131">
        <f>1895104.97-13465.91</f>
        <v>1881639.06</v>
      </c>
      <c r="E9" s="130">
        <f t="shared" si="0"/>
        <v>99.953853045961921</v>
      </c>
      <c r="F9" s="114"/>
      <c r="G9" s="67"/>
      <c r="H9" s="68"/>
      <c r="I9" s="66"/>
      <c r="J9" s="66"/>
    </row>
    <row r="10" spans="1:10" s="60" customFormat="1" ht="16.5" customHeight="1">
      <c r="A10" s="126" t="s">
        <v>4</v>
      </c>
      <c r="B10" s="127" t="s">
        <v>37</v>
      </c>
      <c r="C10" s="131">
        <f>2004044.02-4779</f>
        <v>1999265.02</v>
      </c>
      <c r="D10" s="131">
        <f>2002122.71-4320.37</f>
        <v>1997802.3399999999</v>
      </c>
      <c r="E10" s="130">
        <f t="shared" si="0"/>
        <v>99.926839114106031</v>
      </c>
      <c r="F10" s="114"/>
      <c r="G10" s="66"/>
      <c r="H10" s="66"/>
      <c r="I10" s="66"/>
      <c r="J10" s="66"/>
    </row>
    <row r="11" spans="1:10" s="60" customFormat="1" ht="16.5" customHeight="1">
      <c r="A11" s="126" t="s">
        <v>5</v>
      </c>
      <c r="B11" s="127" t="s">
        <v>38</v>
      </c>
      <c r="C11" s="131">
        <f>2624245.12-11814</f>
        <v>2612431.12</v>
      </c>
      <c r="D11" s="131">
        <f>2612308.76-11778.54</f>
        <v>2600530.2199999997</v>
      </c>
      <c r="E11" s="130">
        <f t="shared" si="0"/>
        <v>99.544451147098556</v>
      </c>
      <c r="F11" s="114"/>
      <c r="G11" s="67"/>
      <c r="H11" s="66"/>
      <c r="I11" s="66"/>
      <c r="J11" s="66"/>
    </row>
    <row r="12" spans="1:10" s="60" customFormat="1" ht="16.5" customHeight="1">
      <c r="A12" s="126" t="s">
        <v>6</v>
      </c>
      <c r="B12" s="127" t="s">
        <v>39</v>
      </c>
      <c r="C12" s="131">
        <f>5027131.63-26626</f>
        <v>5000505.63</v>
      </c>
      <c r="D12" s="131">
        <f>5018703.5-26625.01</f>
        <v>4992078.49</v>
      </c>
      <c r="E12" s="130">
        <f t="shared" si="0"/>
        <v>99.831474242335773</v>
      </c>
      <c r="F12" s="114"/>
      <c r="G12" s="66"/>
      <c r="H12" s="66"/>
      <c r="I12" s="67"/>
      <c r="J12" s="66"/>
    </row>
    <row r="13" spans="1:10" s="60" customFormat="1" ht="16.5" customHeight="1">
      <c r="A13" s="126" t="s">
        <v>40</v>
      </c>
      <c r="B13" s="127" t="s">
        <v>41</v>
      </c>
      <c r="C13" s="131">
        <f>2579257-13323</f>
        <v>2565934</v>
      </c>
      <c r="D13" s="131">
        <f>2574027.91-13321.59</f>
        <v>2560706.3200000003</v>
      </c>
      <c r="E13" s="130">
        <f t="shared" si="0"/>
        <v>99.796265999047534</v>
      </c>
      <c r="F13" s="114"/>
      <c r="G13" s="66"/>
      <c r="H13" s="66"/>
      <c r="I13" s="66"/>
      <c r="J13" s="66"/>
    </row>
    <row r="14" spans="1:10" ht="16.5" customHeight="1">
      <c r="A14" s="126" t="s">
        <v>42</v>
      </c>
      <c r="B14" s="127" t="s">
        <v>43</v>
      </c>
      <c r="C14" s="132">
        <f>3594468-24731</f>
        <v>3569737</v>
      </c>
      <c r="D14" s="132">
        <f>3589509.35-24729.7</f>
        <v>3564779.65</v>
      </c>
      <c r="E14" s="130">
        <f t="shared" si="0"/>
        <v>99.861128424867147</v>
      </c>
      <c r="F14" s="114"/>
      <c r="G14" s="69"/>
      <c r="H14" s="69"/>
      <c r="I14" s="69"/>
      <c r="J14" s="69"/>
    </row>
    <row r="15" spans="1:10" ht="16.5" customHeight="1">
      <c r="A15" s="126" t="s">
        <v>44</v>
      </c>
      <c r="B15" s="127" t="s">
        <v>45</v>
      </c>
      <c r="C15" s="132">
        <f>6095220.93-30000-27252</f>
        <v>6037968.9299999997</v>
      </c>
      <c r="D15" s="132">
        <f>6072988.11-30000-26262.82</f>
        <v>6016725.29</v>
      </c>
      <c r="E15" s="130">
        <f t="shared" si="0"/>
        <v>99.648165794718651</v>
      </c>
      <c r="F15" s="114"/>
      <c r="G15" s="69"/>
      <c r="H15" s="69"/>
      <c r="I15" s="69"/>
      <c r="J15" s="69"/>
    </row>
    <row r="16" spans="1:10" ht="16.5" customHeight="1">
      <c r="A16" s="126" t="s">
        <v>46</v>
      </c>
      <c r="B16" s="127" t="s">
        <v>47</v>
      </c>
      <c r="C16" s="132">
        <f>3372983-11382</f>
        <v>3361601</v>
      </c>
      <c r="D16" s="132">
        <f>3358725.9-11380.39</f>
        <v>3347345.51</v>
      </c>
      <c r="E16" s="130">
        <f t="shared" si="0"/>
        <v>99.575931527864242</v>
      </c>
      <c r="F16" s="114"/>
      <c r="G16" s="69"/>
      <c r="H16" s="70"/>
      <c r="I16" s="70"/>
      <c r="J16" s="69"/>
    </row>
    <row r="17" spans="1:10" ht="16.5" customHeight="1">
      <c r="A17" s="126" t="s">
        <v>48</v>
      </c>
      <c r="B17" s="127" t="s">
        <v>49</v>
      </c>
      <c r="C17" s="132">
        <f>2701274-9813</f>
        <v>2691461</v>
      </c>
      <c r="D17" s="132">
        <f>2698470.95-9586.09</f>
        <v>2688884.8600000003</v>
      </c>
      <c r="E17" s="130">
        <f t="shared" si="0"/>
        <v>99.904284698905172</v>
      </c>
      <c r="F17" s="114"/>
      <c r="G17" s="69"/>
      <c r="H17" s="70"/>
      <c r="I17" s="70"/>
      <c r="J17" s="69"/>
    </row>
    <row r="18" spans="1:10" ht="16.5" customHeight="1">
      <c r="A18" s="126" t="s">
        <v>50</v>
      </c>
      <c r="B18" s="127" t="s">
        <v>51</v>
      </c>
      <c r="C18" s="132">
        <f>3618566.11-25492</f>
        <v>3593074.11</v>
      </c>
      <c r="D18" s="132">
        <f>3616814.66-25449.34</f>
        <v>3591365.3200000003</v>
      </c>
      <c r="E18" s="130">
        <f t="shared" si="0"/>
        <v>99.952442116480597</v>
      </c>
      <c r="F18" s="114"/>
      <c r="G18" s="69"/>
      <c r="H18" s="70"/>
      <c r="I18" s="70"/>
      <c r="J18" s="69"/>
    </row>
    <row r="19" spans="1:10" ht="16.5" customHeight="1">
      <c r="A19" s="126" t="s">
        <v>52</v>
      </c>
      <c r="B19" s="127" t="s">
        <v>53</v>
      </c>
      <c r="C19" s="132">
        <f>5405374.7-35443</f>
        <v>5369931.7000000002</v>
      </c>
      <c r="D19" s="132">
        <f>5392923.29-35439.97</f>
        <v>5357483.32</v>
      </c>
      <c r="E19" s="130">
        <f t="shared" si="0"/>
        <v>99.768183643751001</v>
      </c>
      <c r="F19" s="114"/>
      <c r="G19" s="69"/>
      <c r="H19" s="70"/>
      <c r="I19" s="70"/>
      <c r="J19" s="69"/>
    </row>
    <row r="20" spans="1:10" ht="16.5" customHeight="1">
      <c r="A20" s="126" t="s">
        <v>54</v>
      </c>
      <c r="B20" s="127" t="s">
        <v>55</v>
      </c>
      <c r="C20" s="132">
        <v>1075268</v>
      </c>
      <c r="D20" s="132">
        <v>1074918.8400000001</v>
      </c>
      <c r="E20" s="130">
        <f t="shared" si="0"/>
        <v>99.967528095321356</v>
      </c>
      <c r="F20" s="114"/>
      <c r="G20" s="72"/>
      <c r="H20" s="70"/>
      <c r="I20" s="70"/>
      <c r="J20" s="69"/>
    </row>
    <row r="21" spans="1:10" ht="16.5" customHeight="1">
      <c r="A21" s="126" t="s">
        <v>56</v>
      </c>
      <c r="B21" s="127" t="s">
        <v>57</v>
      </c>
      <c r="C21" s="132">
        <v>1094485.1200000001</v>
      </c>
      <c r="D21" s="132">
        <v>1088065.76</v>
      </c>
      <c r="E21" s="130">
        <f t="shared" si="0"/>
        <v>99.413481290636454</v>
      </c>
      <c r="F21" s="114"/>
      <c r="G21" s="72"/>
      <c r="H21" s="70"/>
      <c r="I21" s="70"/>
      <c r="J21" s="69"/>
    </row>
    <row r="22" spans="1:10" ht="16.5" customHeight="1">
      <c r="A22" s="126" t="s">
        <v>58</v>
      </c>
      <c r="B22" s="127" t="s">
        <v>59</v>
      </c>
      <c r="C22" s="132">
        <v>1091620</v>
      </c>
      <c r="D22" s="132">
        <v>1091529.1599999999</v>
      </c>
      <c r="E22" s="130">
        <f t="shared" si="0"/>
        <v>99.99167842289441</v>
      </c>
      <c r="F22" s="114"/>
      <c r="G22" s="72"/>
      <c r="H22" s="70"/>
      <c r="I22" s="70"/>
      <c r="J22" s="69"/>
    </row>
    <row r="23" spans="1:10" ht="16.5" customHeight="1">
      <c r="A23" s="126" t="s">
        <v>60</v>
      </c>
      <c r="B23" s="127" t="s">
        <v>61</v>
      </c>
      <c r="C23" s="132">
        <v>1045510</v>
      </c>
      <c r="D23" s="132">
        <v>1045290.36</v>
      </c>
      <c r="E23" s="130">
        <f t="shared" si="0"/>
        <v>99.978992070855369</v>
      </c>
      <c r="F23" s="114"/>
      <c r="G23" s="72"/>
      <c r="H23" s="70"/>
      <c r="I23" s="70"/>
      <c r="J23" s="69"/>
    </row>
    <row r="24" spans="1:10" ht="16.5" customHeight="1">
      <c r="A24" s="126" t="s">
        <v>62</v>
      </c>
      <c r="B24" s="127" t="s">
        <v>63</v>
      </c>
      <c r="C24" s="132">
        <v>1044774</v>
      </c>
      <c r="D24" s="132">
        <v>1043930.22</v>
      </c>
      <c r="E24" s="130">
        <f t="shared" si="0"/>
        <v>99.919238036168593</v>
      </c>
      <c r="F24" s="114"/>
      <c r="G24" s="72"/>
      <c r="H24" s="70"/>
      <c r="I24" s="70"/>
      <c r="J24" s="69"/>
    </row>
    <row r="25" spans="1:10" ht="16.5" customHeight="1">
      <c r="A25" s="126" t="s">
        <v>64</v>
      </c>
      <c r="B25" s="127" t="s">
        <v>65</v>
      </c>
      <c r="C25" s="132">
        <v>854763</v>
      </c>
      <c r="D25" s="132">
        <v>854574.33</v>
      </c>
      <c r="E25" s="130">
        <f t="shared" si="0"/>
        <v>99.977927214912199</v>
      </c>
      <c r="F25" s="114"/>
      <c r="G25" s="72"/>
      <c r="H25" s="70"/>
      <c r="I25" s="70"/>
      <c r="J25" s="69"/>
    </row>
    <row r="26" spans="1:10" ht="16.5" customHeight="1">
      <c r="A26" s="126" t="s">
        <v>66</v>
      </c>
      <c r="B26" s="127" t="s">
        <v>67</v>
      </c>
      <c r="C26" s="132">
        <v>1062049.6200000001</v>
      </c>
      <c r="D26" s="132">
        <v>1061006.8999999999</v>
      </c>
      <c r="E26" s="130">
        <f t="shared" si="0"/>
        <v>99.90182002984001</v>
      </c>
      <c r="F26" s="114"/>
      <c r="G26" s="72"/>
      <c r="H26" s="70"/>
      <c r="I26" s="70"/>
      <c r="J26" s="69"/>
    </row>
    <row r="27" spans="1:10" ht="16.5" customHeight="1">
      <c r="A27" s="126" t="s">
        <v>68</v>
      </c>
      <c r="B27" s="127" t="s">
        <v>69</v>
      </c>
      <c r="C27" s="132">
        <v>1065572.25</v>
      </c>
      <c r="D27" s="132">
        <v>1064374.6399999999</v>
      </c>
      <c r="E27" s="130">
        <f t="shared" si="0"/>
        <v>99.887608747318623</v>
      </c>
      <c r="F27" s="114"/>
      <c r="G27" s="72"/>
      <c r="H27" s="70"/>
      <c r="I27" s="70"/>
      <c r="J27" s="70"/>
    </row>
    <row r="28" spans="1:10" ht="16.5" customHeight="1">
      <c r="A28" s="126" t="s">
        <v>70</v>
      </c>
      <c r="B28" s="127" t="s">
        <v>71</v>
      </c>
      <c r="C28" s="132">
        <v>651687</v>
      </c>
      <c r="D28" s="132">
        <v>650985.27</v>
      </c>
      <c r="E28" s="130">
        <f t="shared" si="0"/>
        <v>99.892321006863725</v>
      </c>
      <c r="F28" s="114"/>
      <c r="G28" s="72"/>
      <c r="H28" s="70"/>
      <c r="I28" s="70"/>
      <c r="J28" s="69"/>
    </row>
    <row r="29" spans="1:10" ht="16.5" customHeight="1">
      <c r="A29" s="126" t="s">
        <v>72</v>
      </c>
      <c r="B29" s="127" t="s">
        <v>73</v>
      </c>
      <c r="C29" s="132">
        <v>1413488</v>
      </c>
      <c r="D29" s="132">
        <v>1412720.14</v>
      </c>
      <c r="E29" s="130">
        <f t="shared" si="0"/>
        <v>99.945676227884491</v>
      </c>
      <c r="F29" s="114"/>
      <c r="G29" s="72"/>
      <c r="H29" s="72"/>
      <c r="I29" s="72"/>
      <c r="J29" s="69"/>
    </row>
    <row r="30" spans="1:10" ht="16.5" customHeight="1">
      <c r="A30" s="126" t="s">
        <v>74</v>
      </c>
      <c r="B30" s="127" t="s">
        <v>75</v>
      </c>
      <c r="C30" s="132">
        <v>783381</v>
      </c>
      <c r="D30" s="132">
        <v>783123.28</v>
      </c>
      <c r="E30" s="130">
        <f t="shared" si="0"/>
        <v>99.967101576372158</v>
      </c>
      <c r="F30" s="114"/>
      <c r="G30" s="72"/>
      <c r="H30" s="72"/>
      <c r="I30" s="71"/>
      <c r="J30" s="69"/>
    </row>
    <row r="31" spans="1:10" ht="16.5" customHeight="1">
      <c r="A31" s="126" t="s">
        <v>76</v>
      </c>
      <c r="B31" s="127" t="s">
        <v>77</v>
      </c>
      <c r="C31" s="132">
        <v>1494082</v>
      </c>
      <c r="D31" s="132">
        <v>1493547.43</v>
      </c>
      <c r="E31" s="130">
        <f t="shared" si="0"/>
        <v>99.964220839284593</v>
      </c>
      <c r="F31" s="114"/>
      <c r="G31" s="72"/>
      <c r="H31" s="72"/>
      <c r="I31" s="69"/>
      <c r="J31" s="69"/>
    </row>
    <row r="32" spans="1:10" ht="16.5" customHeight="1">
      <c r="A32" s="126" t="s">
        <v>78</v>
      </c>
      <c r="B32" s="127" t="s">
        <v>79</v>
      </c>
      <c r="C32" s="132">
        <v>628926</v>
      </c>
      <c r="D32" s="132">
        <v>627406.61</v>
      </c>
      <c r="E32" s="130">
        <f t="shared" si="0"/>
        <v>99.75841513945997</v>
      </c>
      <c r="F32" s="114"/>
      <c r="G32" s="72"/>
      <c r="H32" s="72"/>
      <c r="I32" s="69"/>
      <c r="J32" s="69"/>
    </row>
    <row r="33" spans="1:10" ht="16.5" customHeight="1">
      <c r="A33" s="126" t="s">
        <v>80</v>
      </c>
      <c r="B33" s="127" t="s">
        <v>82</v>
      </c>
      <c r="C33" s="132">
        <v>1988232</v>
      </c>
      <c r="D33" s="133">
        <v>1463450.62</v>
      </c>
      <c r="E33" s="130">
        <f t="shared" si="0"/>
        <v>73.60562650636345</v>
      </c>
      <c r="F33" s="114"/>
      <c r="G33" s="62"/>
      <c r="H33" s="62"/>
    </row>
    <row r="34" spans="1:10" ht="16.5" customHeight="1">
      <c r="A34" s="126" t="s">
        <v>81</v>
      </c>
      <c r="B34" s="127" t="s">
        <v>84</v>
      </c>
      <c r="C34" s="134">
        <f>(9477+2553069.6)-7698</f>
        <v>2554848.6</v>
      </c>
      <c r="D34" s="135">
        <f>(9476+2550799.29)-7696.2</f>
        <v>2552579.09</v>
      </c>
      <c r="E34" s="130">
        <f t="shared" si="0"/>
        <v>99.911168513077442</v>
      </c>
      <c r="F34" s="114"/>
      <c r="G34" s="62"/>
      <c r="H34" s="62"/>
    </row>
    <row r="35" spans="1:10" ht="16.5" customHeight="1">
      <c r="A35" s="126" t="s">
        <v>83</v>
      </c>
      <c r="B35" s="127" t="s">
        <v>86</v>
      </c>
      <c r="C35" s="132">
        <f>2705185.7-6601</f>
        <v>2698584.7</v>
      </c>
      <c r="D35" s="133">
        <f>2704471.06-6458.44</f>
        <v>2698012.62</v>
      </c>
      <c r="E35" s="130">
        <f t="shared" si="0"/>
        <v>99.978800739513559</v>
      </c>
      <c r="F35" s="114"/>
    </row>
    <row r="36" spans="1:10" ht="16.5" customHeight="1">
      <c r="A36" s="126" t="s">
        <v>85</v>
      </c>
      <c r="B36" s="127" t="s">
        <v>88</v>
      </c>
      <c r="C36" s="132">
        <f>303.5+2781883.36-7901</f>
        <v>2774285.86</v>
      </c>
      <c r="D36" s="133">
        <f>303.5+2779485.1-7899.37</f>
        <v>2771889.23</v>
      </c>
      <c r="E36" s="130">
        <f t="shared" si="0"/>
        <v>99.913612723383878</v>
      </c>
      <c r="F36" s="114"/>
    </row>
    <row r="37" spans="1:10" ht="16.5" customHeight="1">
      <c r="A37" s="126" t="s">
        <v>87</v>
      </c>
      <c r="B37" s="127" t="s">
        <v>90</v>
      </c>
      <c r="C37" s="132">
        <f>2021758.95-3277</f>
        <v>2018481.95</v>
      </c>
      <c r="D37" s="133">
        <f>2020719.47-3204.96</f>
        <v>2017514.51</v>
      </c>
      <c r="E37" s="130">
        <f>D37/C37*100</f>
        <v>99.952070911508528</v>
      </c>
      <c r="F37" s="114"/>
      <c r="G37" s="69"/>
      <c r="H37" s="69"/>
      <c r="I37" s="69"/>
      <c r="J37" s="69"/>
    </row>
    <row r="38" spans="1:10" ht="16.5" customHeight="1">
      <c r="A38" s="126" t="s">
        <v>89</v>
      </c>
      <c r="B38" s="127" t="s">
        <v>92</v>
      </c>
      <c r="C38" s="132">
        <f>3713471.41-15056</f>
        <v>3698415.41</v>
      </c>
      <c r="D38" s="133">
        <f>3711653.19-15054.97</f>
        <v>3696598.2199999997</v>
      </c>
      <c r="E38" s="130">
        <f t="shared" si="0"/>
        <v>99.950865714135645</v>
      </c>
      <c r="F38" s="114"/>
      <c r="G38" s="72"/>
      <c r="H38" s="72"/>
      <c r="I38" s="72"/>
      <c r="J38" s="72"/>
    </row>
    <row r="39" spans="1:10" ht="16.5" customHeight="1">
      <c r="A39" s="126" t="s">
        <v>91</v>
      </c>
      <c r="B39" s="127" t="s">
        <v>94</v>
      </c>
      <c r="C39" s="132">
        <f>4501301.7-11796</f>
        <v>4489505.7</v>
      </c>
      <c r="D39" s="133">
        <f>4500962.31-11730.24</f>
        <v>4489232.0699999994</v>
      </c>
      <c r="E39" s="130">
        <f t="shared" si="0"/>
        <v>99.993905119666053</v>
      </c>
      <c r="F39" s="136"/>
      <c r="G39" s="69"/>
      <c r="H39" s="70"/>
      <c r="I39" s="70"/>
      <c r="J39" s="69"/>
    </row>
    <row r="40" spans="1:10" ht="16.5" customHeight="1">
      <c r="A40" s="126" t="s">
        <v>93</v>
      </c>
      <c r="B40" s="127" t="s">
        <v>114</v>
      </c>
      <c r="C40" s="132">
        <f>4951540-8767</f>
        <v>4942773</v>
      </c>
      <c r="D40" s="133">
        <f>4943707.3-8761.16</f>
        <v>4934946.1399999997</v>
      </c>
      <c r="E40" s="130">
        <f t="shared" si="0"/>
        <v>99.841650425783257</v>
      </c>
      <c r="F40" s="114"/>
      <c r="G40" s="69"/>
      <c r="H40" s="70"/>
      <c r="I40" s="70"/>
      <c r="J40" s="69"/>
    </row>
    <row r="41" spans="1:10" ht="16.5" customHeight="1">
      <c r="A41" s="126" t="s">
        <v>95</v>
      </c>
      <c r="B41" s="127" t="s">
        <v>97</v>
      </c>
      <c r="C41" s="132">
        <f>3355999.83-14790-600</f>
        <v>3340609.83</v>
      </c>
      <c r="D41" s="133">
        <f>3354248.56-14513.2-561.6</f>
        <v>3339173.76</v>
      </c>
      <c r="E41" s="130">
        <f t="shared" si="0"/>
        <v>99.957011741176601</v>
      </c>
      <c r="F41" s="114"/>
      <c r="G41" s="69"/>
      <c r="H41" s="70"/>
      <c r="I41" s="70"/>
      <c r="J41" s="69"/>
    </row>
    <row r="42" spans="1:10" ht="16.5" customHeight="1">
      <c r="A42" s="126" t="s">
        <v>96</v>
      </c>
      <c r="B42" s="127" t="s">
        <v>99</v>
      </c>
      <c r="C42" s="132">
        <f>2987883.96-776</f>
        <v>2987107.96</v>
      </c>
      <c r="D42" s="133">
        <f>2987851.74-758.77</f>
        <v>2987092.97</v>
      </c>
      <c r="E42" s="130">
        <f t="shared" si="0"/>
        <v>99.999498176825199</v>
      </c>
      <c r="F42" s="114"/>
      <c r="G42" s="72"/>
      <c r="H42" s="70"/>
      <c r="I42" s="70"/>
      <c r="J42" s="69"/>
    </row>
    <row r="43" spans="1:10" ht="16.5" customHeight="1">
      <c r="A43" s="126" t="s">
        <v>98</v>
      </c>
      <c r="B43" s="127" t="s">
        <v>101</v>
      </c>
      <c r="C43" s="134">
        <f>3178673.01</f>
        <v>3178673.01</v>
      </c>
      <c r="D43" s="135">
        <v>3178594.46</v>
      </c>
      <c r="E43" s="130">
        <f t="shared" si="0"/>
        <v>99.997528843018685</v>
      </c>
      <c r="F43" s="114"/>
      <c r="G43" s="72"/>
      <c r="H43" s="70"/>
      <c r="I43" s="70"/>
      <c r="J43" s="69"/>
    </row>
    <row r="44" spans="1:10" ht="16.5" customHeight="1">
      <c r="A44" s="126" t="s">
        <v>100</v>
      </c>
      <c r="B44" s="127" t="s">
        <v>103</v>
      </c>
      <c r="C44" s="132">
        <v>1813924.91</v>
      </c>
      <c r="D44" s="133">
        <v>1802675.91</v>
      </c>
      <c r="E44" s="130">
        <f t="shared" si="0"/>
        <v>99.379853050256642</v>
      </c>
      <c r="F44" s="114"/>
      <c r="G44" s="71"/>
      <c r="H44" s="70"/>
      <c r="I44" s="70"/>
      <c r="J44" s="69"/>
    </row>
    <row r="45" spans="1:10" ht="16.5" customHeight="1">
      <c r="A45" s="126" t="s">
        <v>102</v>
      </c>
      <c r="B45" s="127" t="s">
        <v>105</v>
      </c>
      <c r="C45" s="132">
        <f>2054984.28</f>
        <v>2054984.28</v>
      </c>
      <c r="D45" s="133">
        <v>2054974.4</v>
      </c>
      <c r="E45" s="130">
        <f t="shared" si="0"/>
        <v>99.999519217733379</v>
      </c>
      <c r="F45" s="114"/>
      <c r="G45" s="71"/>
      <c r="H45" s="70"/>
      <c r="I45" s="70"/>
      <c r="J45" s="69"/>
    </row>
    <row r="46" spans="1:10" ht="16.5" customHeight="1">
      <c r="A46" s="126" t="s">
        <v>104</v>
      </c>
      <c r="B46" s="127" t="s">
        <v>106</v>
      </c>
      <c r="C46" s="132">
        <f>3427.32+6429098.62-2500</f>
        <v>6430025.9400000004</v>
      </c>
      <c r="D46" s="133">
        <f>3427.32+6424790.84-2496.45</f>
        <v>6425721.71</v>
      </c>
      <c r="E46" s="130">
        <f t="shared" si="0"/>
        <v>99.933060456673672</v>
      </c>
      <c r="F46" s="114"/>
      <c r="G46" s="69"/>
      <c r="H46" s="70"/>
      <c r="I46" s="70"/>
      <c r="J46" s="69"/>
    </row>
    <row r="47" spans="1:10" ht="16.5" customHeight="1">
      <c r="A47" s="127"/>
      <c r="B47" s="127"/>
      <c r="C47" s="137"/>
      <c r="D47" s="132"/>
      <c r="E47" s="130"/>
      <c r="F47" s="114"/>
      <c r="G47" s="69"/>
      <c r="H47" s="70"/>
      <c r="I47" s="70"/>
      <c r="J47" s="69"/>
    </row>
    <row r="48" spans="1:10" ht="16.5" customHeight="1">
      <c r="A48" s="127" t="s">
        <v>107</v>
      </c>
      <c r="B48" s="127" t="s">
        <v>108</v>
      </c>
      <c r="C48" s="132">
        <f>SUM(C7:C33)+9477+3427.32+303.5</f>
        <v>57868587.600000001</v>
      </c>
      <c r="D48" s="132">
        <f>SUM(D7:D33)+9476+3427.32+303.5</f>
        <v>57224949.349999994</v>
      </c>
      <c r="E48" s="130">
        <f t="shared" si="0"/>
        <v>98.88775883999628</v>
      </c>
      <c r="F48" s="114"/>
      <c r="G48" s="69"/>
      <c r="H48" s="70"/>
      <c r="I48" s="70"/>
      <c r="J48" s="69"/>
    </row>
    <row r="49" spans="1:10" ht="16.5" customHeight="1">
      <c r="A49" s="127" t="s">
        <v>109</v>
      </c>
      <c r="B49" s="127" t="s">
        <v>110</v>
      </c>
      <c r="C49" s="132">
        <f>SUM(C34:C46)-9477-3427.32-303.5</f>
        <v>42969013.329999991</v>
      </c>
      <c r="D49" s="132">
        <f>SUM(D34:D46)-9476-3427.32-303.5</f>
        <v>42935798.269999996</v>
      </c>
      <c r="E49" s="130">
        <f t="shared" si="0"/>
        <v>99.922699970453337</v>
      </c>
      <c r="F49" s="136"/>
      <c r="G49" s="69"/>
      <c r="H49" s="70"/>
      <c r="I49" s="70"/>
      <c r="J49" s="69"/>
    </row>
    <row r="50" spans="1:10" s="63" customFormat="1" ht="16.5" customHeight="1">
      <c r="A50" s="138" t="s">
        <v>111</v>
      </c>
      <c r="B50" s="138" t="s">
        <v>3</v>
      </c>
      <c r="C50" s="139">
        <f>SUM(C48:C49)</f>
        <v>100837600.92999999</v>
      </c>
      <c r="D50" s="139">
        <f>SUM(D48:D49)</f>
        <v>100160747.61999999</v>
      </c>
      <c r="E50" s="140">
        <f t="shared" si="0"/>
        <v>99.328768927704004</v>
      </c>
      <c r="F50" s="114"/>
      <c r="G50" s="73"/>
      <c r="H50" s="70"/>
      <c r="I50" s="70"/>
      <c r="J50" s="73"/>
    </row>
    <row r="51" spans="1:10">
      <c r="G51" s="69"/>
      <c r="H51" s="69"/>
      <c r="I51" s="69"/>
      <c r="J51" s="69"/>
    </row>
    <row r="52" spans="1:10">
      <c r="G52" s="69"/>
      <c r="H52" s="69"/>
      <c r="I52" s="69"/>
      <c r="J52" s="69"/>
    </row>
    <row r="53" spans="1:10">
      <c r="C53" s="90"/>
      <c r="D53" s="90"/>
    </row>
    <row r="54" spans="1:10">
      <c r="C54" s="90"/>
      <c r="D54" s="90"/>
    </row>
    <row r="55" spans="1:10">
      <c r="C55" s="90"/>
      <c r="D55" s="90"/>
    </row>
    <row r="56" spans="1:10">
      <c r="C56" s="90"/>
      <c r="D56" s="90"/>
    </row>
    <row r="57" spans="1:10">
      <c r="C57" s="90"/>
      <c r="D57" s="90"/>
    </row>
    <row r="58" spans="1:10">
      <c r="B58" s="141"/>
      <c r="C58" s="142"/>
      <c r="D58" s="142"/>
      <c r="E58" s="141"/>
    </row>
    <row r="59" spans="1:10">
      <c r="B59" s="141"/>
      <c r="C59" s="142"/>
      <c r="D59" s="142"/>
      <c r="E59" s="141"/>
    </row>
    <row r="60" spans="1:10">
      <c r="B60" s="143"/>
      <c r="C60" s="144"/>
      <c r="D60" s="144"/>
      <c r="E60" s="141"/>
    </row>
    <row r="61" spans="1:10">
      <c r="B61" s="143"/>
      <c r="C61" s="144"/>
      <c r="D61" s="144"/>
      <c r="E61" s="141"/>
    </row>
    <row r="62" spans="1:10">
      <c r="B62" s="143"/>
      <c r="C62" s="144"/>
      <c r="D62" s="144"/>
      <c r="E62" s="141"/>
    </row>
    <row r="63" spans="1:10">
      <c r="B63" s="143"/>
      <c r="C63" s="145"/>
      <c r="D63" s="145"/>
      <c r="E63" s="141"/>
    </row>
    <row r="64" spans="1:10">
      <c r="B64" s="141"/>
      <c r="C64" s="142"/>
      <c r="D64" s="142"/>
      <c r="E64" s="141"/>
    </row>
    <row r="65" spans="2:5">
      <c r="B65" s="141"/>
      <c r="C65" s="142"/>
      <c r="D65" s="142"/>
      <c r="E65" s="141"/>
    </row>
    <row r="66" spans="2:5">
      <c r="B66" s="141"/>
      <c r="C66" s="142"/>
      <c r="D66" s="142"/>
      <c r="E66" s="141"/>
    </row>
    <row r="67" spans="2:5">
      <c r="C67" s="90"/>
      <c r="D67" s="90"/>
    </row>
  </sheetData>
  <mergeCells count="3">
    <mergeCell ref="A1:F1"/>
    <mergeCell ref="D2:E2"/>
    <mergeCell ref="A3:E3"/>
  </mergeCells>
  <phoneticPr fontId="3" type="noConversion"/>
  <pageMargins left="0.78740157480314965" right="0.59055118110236227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4"/>
  <sheetViews>
    <sheetView tabSelected="1" workbookViewId="0">
      <selection activeCell="F1" sqref="F1"/>
    </sheetView>
  </sheetViews>
  <sheetFormatPr defaultRowHeight="14.25"/>
  <cols>
    <col min="1" max="1" width="5.28515625" style="2" customWidth="1"/>
    <col min="2" max="2" width="33.5703125" style="2" customWidth="1"/>
    <col min="3" max="3" width="19.5703125" style="16" customWidth="1"/>
    <col min="4" max="4" width="20.85546875" style="4" customWidth="1"/>
    <col min="5" max="5" width="8" style="2" customWidth="1"/>
    <col min="6" max="6" width="19.28515625" style="2" customWidth="1"/>
    <col min="7" max="7" width="17" style="2" customWidth="1"/>
    <col min="8" max="8" width="16" style="16" customWidth="1"/>
    <col min="9" max="9" width="19.85546875" style="33" customWidth="1"/>
    <col min="10" max="10" width="16.5703125" style="23" customWidth="1"/>
    <col min="11" max="11" width="16.28515625" style="2" customWidth="1"/>
    <col min="12" max="12" width="20.7109375" style="2" customWidth="1"/>
    <col min="13" max="16384" width="9.140625" style="2"/>
  </cols>
  <sheetData>
    <row r="1" spans="1:10" ht="19.5" customHeight="1">
      <c r="A1" s="152"/>
      <c r="B1" s="152"/>
      <c r="C1" s="152"/>
      <c r="D1" s="152"/>
      <c r="E1" s="152"/>
      <c r="F1" s="50"/>
      <c r="G1" s="50"/>
    </row>
    <row r="2" spans="1:10" ht="18.75" customHeight="1">
      <c r="D2" s="153" t="s">
        <v>117</v>
      </c>
      <c r="E2" s="153"/>
      <c r="F2" s="35"/>
      <c r="G2" s="35"/>
    </row>
    <row r="3" spans="1:10" ht="12.75" customHeight="1">
      <c r="D3" s="35"/>
      <c r="E3" s="35"/>
      <c r="F3" s="35"/>
      <c r="G3" s="35"/>
    </row>
    <row r="4" spans="1:10" ht="56.25" customHeight="1">
      <c r="A4" s="151" t="s">
        <v>28</v>
      </c>
      <c r="B4" s="151"/>
      <c r="C4" s="151"/>
      <c r="D4" s="151"/>
      <c r="E4" s="151"/>
      <c r="F4" s="49"/>
      <c r="G4" s="49"/>
      <c r="H4" s="8"/>
      <c r="I4" s="29"/>
      <c r="J4" s="24"/>
    </row>
    <row r="5" spans="1:10" ht="20.25" customHeight="1">
      <c r="C5" s="3"/>
      <c r="H5" s="7"/>
      <c r="I5" s="29"/>
      <c r="J5" s="24"/>
    </row>
    <row r="6" spans="1:10" ht="18" customHeight="1">
      <c r="B6" s="5" t="s">
        <v>8</v>
      </c>
      <c r="C6" s="3"/>
      <c r="E6" s="6"/>
      <c r="F6" s="6"/>
      <c r="G6" s="6"/>
      <c r="H6" s="7"/>
      <c r="I6" s="29"/>
      <c r="J6" s="24"/>
    </row>
    <row r="7" spans="1:10" ht="18" customHeight="1">
      <c r="A7" s="4"/>
      <c r="B7" s="22"/>
      <c r="C7" s="34"/>
      <c r="E7" s="35"/>
      <c r="F7" s="35"/>
      <c r="G7" s="35"/>
      <c r="H7" s="7"/>
      <c r="I7" s="29"/>
      <c r="J7" s="24"/>
    </row>
    <row r="8" spans="1:10" s="9" customFormat="1" ht="44.25" customHeight="1">
      <c r="A8" s="38" t="s">
        <v>9</v>
      </c>
      <c r="B8" s="38" t="s">
        <v>10</v>
      </c>
      <c r="C8" s="1" t="s">
        <v>113</v>
      </c>
      <c r="D8" s="1" t="s">
        <v>119</v>
      </c>
      <c r="E8" s="54" t="s">
        <v>24</v>
      </c>
      <c r="F8" s="56"/>
      <c r="G8" s="56"/>
      <c r="H8" s="24"/>
      <c r="I8" s="29"/>
      <c r="J8" s="25"/>
    </row>
    <row r="9" spans="1:10" s="9" customFormat="1" ht="12.75" customHeight="1">
      <c r="A9" s="38">
        <v>1</v>
      </c>
      <c r="B9" s="38">
        <v>2</v>
      </c>
      <c r="C9" s="38">
        <v>3</v>
      </c>
      <c r="D9" s="38">
        <v>4</v>
      </c>
      <c r="E9" s="1">
        <v>5</v>
      </c>
      <c r="F9" s="56"/>
      <c r="G9" s="56"/>
      <c r="H9" s="24"/>
      <c r="I9" s="29"/>
      <c r="J9" s="25"/>
    </row>
    <row r="10" spans="1:10" s="9" customFormat="1" ht="18" customHeight="1">
      <c r="A10" s="39" t="s">
        <v>16</v>
      </c>
      <c r="B10" s="39" t="s">
        <v>13</v>
      </c>
      <c r="C10" s="40">
        <f>SUM(C11:C12)</f>
        <v>100837600.92999999</v>
      </c>
      <c r="D10" s="40">
        <f>SUM(D11:D12)</f>
        <v>100160747.61999999</v>
      </c>
      <c r="E10" s="36">
        <f>D10/C10*100</f>
        <v>99.328768927704004</v>
      </c>
      <c r="F10" s="28"/>
      <c r="G10" s="28"/>
      <c r="H10" s="24"/>
      <c r="I10" s="29"/>
      <c r="J10" s="25"/>
    </row>
    <row r="11" spans="1:10" s="9" customFormat="1" ht="18" customHeight="1">
      <c r="A11" s="39" t="s">
        <v>0</v>
      </c>
      <c r="B11" s="42" t="s">
        <v>11</v>
      </c>
      <c r="C11" s="82">
        <f>'Wydatki jednostek oświatowych'!C48</f>
        <v>57868587.600000001</v>
      </c>
      <c r="D11" s="25">
        <f>'Wydatki jednostek oświatowych'!D48</f>
        <v>57224949.349999994</v>
      </c>
      <c r="E11" s="43">
        <f t="shared" ref="E11:E34" si="0">D11/C11*100</f>
        <v>98.88775883999628</v>
      </c>
      <c r="F11" s="25"/>
      <c r="G11" s="25"/>
      <c r="H11" s="27"/>
      <c r="I11" s="30"/>
      <c r="J11" s="28"/>
    </row>
    <row r="12" spans="1:10" s="9" customFormat="1" ht="18" customHeight="1">
      <c r="A12" s="39" t="s">
        <v>1</v>
      </c>
      <c r="B12" s="42" t="s">
        <v>12</v>
      </c>
      <c r="C12" s="82">
        <f>'Wydatki jednostek oświatowych'!C49</f>
        <v>42969013.329999991</v>
      </c>
      <c r="D12" s="82">
        <f>'Wydatki jednostek oświatowych'!D49</f>
        <v>42935798.269999996</v>
      </c>
      <c r="E12" s="43">
        <f t="shared" si="0"/>
        <v>99.922699970453337</v>
      </c>
      <c r="F12" s="25"/>
      <c r="G12" s="25"/>
      <c r="H12" s="27"/>
      <c r="I12" s="31"/>
      <c r="J12" s="27"/>
    </row>
    <row r="13" spans="1:10" s="9" customFormat="1" ht="18" customHeight="1">
      <c r="A13" s="39" t="s">
        <v>17</v>
      </c>
      <c r="B13" s="44" t="s">
        <v>18</v>
      </c>
      <c r="C13" s="40">
        <f>C14+C22+C20+C21+C18+C17</f>
        <v>18422607.100000001</v>
      </c>
      <c r="D13" s="40">
        <f>D14+D22+D20+D21+D18+D17</f>
        <v>18344047.100000001</v>
      </c>
      <c r="E13" s="36">
        <f t="shared" si="0"/>
        <v>99.573567413268023</v>
      </c>
      <c r="F13" s="28"/>
      <c r="G13" s="28"/>
      <c r="H13" s="27"/>
      <c r="I13" s="31"/>
      <c r="J13" s="27"/>
    </row>
    <row r="14" spans="1:10" s="5" customFormat="1" ht="18" customHeight="1">
      <c r="A14" s="39" t="s">
        <v>0</v>
      </c>
      <c r="B14" s="44" t="s">
        <v>26</v>
      </c>
      <c r="C14" s="36">
        <f>SUM(C15:C16)</f>
        <v>14340176.16</v>
      </c>
      <c r="D14" s="36">
        <f>SUM(D15:D16)</f>
        <v>14267909.910000002</v>
      </c>
      <c r="E14" s="36">
        <f t="shared" si="0"/>
        <v>99.496057445921934</v>
      </c>
      <c r="F14" s="28"/>
      <c r="G14" s="28"/>
      <c r="H14" s="26"/>
      <c r="I14" s="32"/>
      <c r="J14" s="26"/>
    </row>
    <row r="15" spans="1:10" ht="18" customHeight="1">
      <c r="A15" s="41"/>
      <c r="B15" s="104" t="s">
        <v>19</v>
      </c>
      <c r="C15" s="105">
        <f>1001674+52079+2614646+817190+2244555+5763221+102660+607104</f>
        <v>13203129</v>
      </c>
      <c r="D15" s="105">
        <f>1001673.44+50818.08+2598307.91+816801.46+2239229.64+5760297.96+102660+607103.4</f>
        <v>13176891.890000002</v>
      </c>
      <c r="E15" s="43">
        <f t="shared" si="0"/>
        <v>99.801281120558642</v>
      </c>
      <c r="F15" s="25"/>
      <c r="G15" s="25"/>
      <c r="H15" s="23"/>
      <c r="I15" s="48"/>
      <c r="J15" s="48"/>
    </row>
    <row r="16" spans="1:10" ht="18" customHeight="1">
      <c r="A16" s="41"/>
      <c r="B16" s="104" t="s">
        <v>20</v>
      </c>
      <c r="C16" s="105">
        <f>27045+955880.15+4902.43+73500+73590.58+2129</f>
        <v>1137047.1600000001</v>
      </c>
      <c r="D16" s="105">
        <f>23600.28+916127.89+4901.87+73500+72887.98</f>
        <v>1091018.02</v>
      </c>
      <c r="E16" s="43">
        <f t="shared" si="0"/>
        <v>95.951870633052721</v>
      </c>
      <c r="F16" s="25"/>
      <c r="G16" s="25"/>
      <c r="H16" s="24"/>
      <c r="I16" s="48"/>
      <c r="J16" s="48"/>
    </row>
    <row r="17" spans="1:13" ht="60.75" customHeight="1">
      <c r="A17" s="39" t="s">
        <v>1</v>
      </c>
      <c r="B17" s="106" t="s">
        <v>122</v>
      </c>
      <c r="C17" s="105">
        <v>173982</v>
      </c>
      <c r="D17" s="105">
        <v>173981.5</v>
      </c>
      <c r="E17" s="43">
        <f t="shared" si="0"/>
        <v>99.99971261394856</v>
      </c>
      <c r="F17" s="25"/>
      <c r="G17" s="25"/>
      <c r="H17" s="24"/>
      <c r="I17" s="48"/>
      <c r="J17" s="48"/>
    </row>
    <row r="18" spans="1:13" s="9" customFormat="1" ht="18" customHeight="1">
      <c r="A18" s="39" t="s">
        <v>2</v>
      </c>
      <c r="B18" s="107" t="s">
        <v>27</v>
      </c>
      <c r="C18" s="108">
        <f>SUM(C19:C19)</f>
        <v>3872382.94</v>
      </c>
      <c r="D18" s="109">
        <f>SUM(D19:D19)</f>
        <v>3869159.7800000003</v>
      </c>
      <c r="E18" s="36">
        <f t="shared" si="0"/>
        <v>99.916765463283454</v>
      </c>
      <c r="F18" s="25"/>
      <c r="G18" s="25"/>
      <c r="H18" s="78"/>
      <c r="I18" s="28"/>
      <c r="J18" s="28"/>
    </row>
    <row r="19" spans="1:13" s="9" customFormat="1" ht="18" customHeight="1">
      <c r="A19" s="41"/>
      <c r="B19" s="104" t="s">
        <v>14</v>
      </c>
      <c r="C19" s="110">
        <f>20000+42700+3809682.94</f>
        <v>3872382.94</v>
      </c>
      <c r="D19" s="111">
        <f>19774.43+42700+3806685.35</f>
        <v>3869159.7800000003</v>
      </c>
      <c r="E19" s="43">
        <f t="shared" si="0"/>
        <v>99.916765463283454</v>
      </c>
      <c r="F19" s="25"/>
      <c r="G19" s="25"/>
      <c r="H19" s="78"/>
      <c r="I19" s="31"/>
      <c r="J19" s="27"/>
    </row>
    <row r="20" spans="1:13" s="9" customFormat="1" ht="18" customHeight="1">
      <c r="A20" s="39" t="s">
        <v>4</v>
      </c>
      <c r="B20" s="107" t="s">
        <v>25</v>
      </c>
      <c r="C20" s="112">
        <v>17780</v>
      </c>
      <c r="D20" s="113">
        <v>16692.89</v>
      </c>
      <c r="E20" s="36">
        <f t="shared" si="0"/>
        <v>93.885770528683906</v>
      </c>
      <c r="F20" s="28"/>
      <c r="G20" s="28"/>
      <c r="H20" s="78"/>
      <c r="I20" s="31"/>
      <c r="J20" s="27"/>
    </row>
    <row r="21" spans="1:13" s="9" customFormat="1" ht="28.5" customHeight="1">
      <c r="A21" s="39" t="s">
        <v>5</v>
      </c>
      <c r="B21" s="55" t="s">
        <v>116</v>
      </c>
      <c r="C21" s="36">
        <v>100</v>
      </c>
      <c r="D21" s="91">
        <v>50</v>
      </c>
      <c r="E21" s="36">
        <f t="shared" si="0"/>
        <v>50</v>
      </c>
      <c r="F21" s="28"/>
      <c r="G21" s="28"/>
      <c r="H21" s="87"/>
      <c r="I21" s="88"/>
      <c r="J21" s="27"/>
    </row>
    <row r="22" spans="1:13" s="9" customFormat="1" ht="18" customHeight="1">
      <c r="A22" s="39" t="s">
        <v>6</v>
      </c>
      <c r="B22" s="44" t="s">
        <v>115</v>
      </c>
      <c r="C22" s="92">
        <v>18186</v>
      </c>
      <c r="D22" s="40">
        <v>16253.02</v>
      </c>
      <c r="E22" s="36">
        <f t="shared" si="0"/>
        <v>89.3710546574288</v>
      </c>
      <c r="F22" s="28"/>
      <c r="G22" s="93"/>
      <c r="H22" s="98"/>
      <c r="I22" s="89"/>
      <c r="J22" s="78"/>
      <c r="K22" s="80"/>
    </row>
    <row r="23" spans="1:13" s="9" customFormat="1" ht="18" customHeight="1">
      <c r="A23" s="39"/>
      <c r="B23" s="44" t="s">
        <v>120</v>
      </c>
      <c r="C23" s="36">
        <f>C10+C13</f>
        <v>119260208.03</v>
      </c>
      <c r="D23" s="36">
        <f>D10+D13</f>
        <v>118504794.72</v>
      </c>
      <c r="E23" s="36">
        <f t="shared" si="0"/>
        <v>99.366583940713923</v>
      </c>
      <c r="F23" s="28"/>
      <c r="G23" s="99"/>
      <c r="H23" s="100"/>
      <c r="I23" s="79"/>
      <c r="J23" s="78"/>
      <c r="K23" s="78">
        <f>H33+H39</f>
        <v>0</v>
      </c>
    </row>
    <row r="24" spans="1:13" s="5" customFormat="1" ht="18" customHeight="1">
      <c r="A24" s="45"/>
      <c r="B24" s="45"/>
      <c r="C24" s="62"/>
      <c r="D24" s="62"/>
      <c r="E24" s="46"/>
      <c r="F24" s="28"/>
      <c r="G24" s="93"/>
      <c r="H24" s="95"/>
      <c r="I24" s="75"/>
      <c r="J24" s="76"/>
      <c r="K24" s="22"/>
    </row>
    <row r="25" spans="1:13" ht="18" customHeight="1">
      <c r="A25" s="4"/>
      <c r="B25" s="22" t="s">
        <v>29</v>
      </c>
      <c r="C25" s="25"/>
      <c r="D25" s="25"/>
      <c r="E25" s="28"/>
      <c r="F25" s="28"/>
      <c r="G25" s="93"/>
      <c r="H25" s="95"/>
      <c r="I25" s="77"/>
      <c r="J25" s="37"/>
      <c r="K25" s="4"/>
    </row>
    <row r="26" spans="1:13" ht="18" customHeight="1">
      <c r="A26" s="4"/>
      <c r="B26" s="22"/>
      <c r="C26" s="37"/>
      <c r="D26" s="37"/>
      <c r="E26" s="47"/>
      <c r="F26" s="28"/>
      <c r="G26" s="93"/>
      <c r="H26" s="95"/>
      <c r="I26" s="77"/>
      <c r="J26" s="37"/>
      <c r="K26" s="4"/>
    </row>
    <row r="27" spans="1:13" ht="18" customHeight="1">
      <c r="A27" s="42" t="s">
        <v>0</v>
      </c>
      <c r="B27" s="42" t="s">
        <v>7</v>
      </c>
      <c r="C27" s="43">
        <f>32698475+52967053</f>
        <v>85665528</v>
      </c>
      <c r="D27" s="43">
        <f>32698475+52967053</f>
        <v>85665528</v>
      </c>
      <c r="E27" s="51">
        <f t="shared" si="0"/>
        <v>100</v>
      </c>
      <c r="F27" s="25"/>
      <c r="G27" s="93"/>
      <c r="H27" s="96"/>
      <c r="I27" s="81"/>
      <c r="J27" s="25"/>
      <c r="K27" s="4"/>
    </row>
    <row r="28" spans="1:13" ht="18" customHeight="1">
      <c r="A28" s="42" t="s">
        <v>1</v>
      </c>
      <c r="B28" s="42" t="s">
        <v>15</v>
      </c>
      <c r="C28" s="43">
        <v>2418832.23</v>
      </c>
      <c r="D28" s="43">
        <v>2072730.42</v>
      </c>
      <c r="E28" s="51">
        <f t="shared" si="0"/>
        <v>85.691367689440781</v>
      </c>
      <c r="F28" s="25"/>
      <c r="G28" s="94"/>
      <c r="H28" s="97"/>
      <c r="I28" s="81"/>
      <c r="J28" s="25"/>
      <c r="K28" s="4"/>
    </row>
    <row r="29" spans="1:13" ht="18" customHeight="1">
      <c r="A29" s="11" t="s">
        <v>2</v>
      </c>
      <c r="B29" s="42" t="s">
        <v>23</v>
      </c>
      <c r="C29" s="43">
        <v>6149282.0099999998</v>
      </c>
      <c r="D29" s="83">
        <v>6113771.6899999995</v>
      </c>
      <c r="E29" s="52">
        <f t="shared" si="0"/>
        <v>99.422529005138273</v>
      </c>
      <c r="F29" s="25"/>
      <c r="G29" s="94"/>
      <c r="H29" s="98"/>
      <c r="I29" s="81"/>
      <c r="J29" s="81"/>
      <c r="K29" s="4"/>
    </row>
    <row r="30" spans="1:13" ht="18" customHeight="1">
      <c r="A30" s="11" t="s">
        <v>4</v>
      </c>
      <c r="B30" s="42" t="s">
        <v>112</v>
      </c>
      <c r="C30" s="43">
        <f>3600918.96+4420+5100+7673.8+53744.14+93378.7+108819.06+60889.6</f>
        <v>3934944.2600000002</v>
      </c>
      <c r="D30" s="83">
        <f>3601797.27+3997.63+4267.25+7673.8+53744.14+93378.7+146414.78+60889.6</f>
        <v>3972163.17</v>
      </c>
      <c r="E30" s="52">
        <f t="shared" si="0"/>
        <v>100.94585609199962</v>
      </c>
      <c r="F30" s="25"/>
      <c r="G30" s="94"/>
      <c r="H30" s="98"/>
      <c r="I30" s="81"/>
      <c r="J30" s="81"/>
      <c r="K30" s="4"/>
    </row>
    <row r="31" spans="1:13" s="5" customFormat="1" ht="18" customHeight="1">
      <c r="A31" s="15"/>
      <c r="B31" s="44" t="s">
        <v>3</v>
      </c>
      <c r="C31" s="36">
        <f>SUM(C27:C30)</f>
        <v>98168586.500000015</v>
      </c>
      <c r="D31" s="36">
        <f>SUM(D27:D30)</f>
        <v>97824193.280000001</v>
      </c>
      <c r="E31" s="53">
        <f t="shared" si="0"/>
        <v>99.64918184902254</v>
      </c>
      <c r="F31" s="28"/>
      <c r="G31" s="94"/>
      <c r="H31" s="93"/>
      <c r="I31" s="74"/>
      <c r="J31" s="28"/>
      <c r="K31" s="45"/>
      <c r="L31" s="12"/>
      <c r="M31" s="12"/>
    </row>
    <row r="32" spans="1:13" s="5" customFormat="1" ht="18" customHeight="1">
      <c r="A32" s="19"/>
      <c r="B32" s="12"/>
      <c r="C32" s="17"/>
      <c r="D32" s="28"/>
      <c r="E32" s="53"/>
      <c r="F32" s="17"/>
      <c r="G32" s="94"/>
      <c r="H32" s="94"/>
      <c r="I32" s="74"/>
      <c r="J32" s="28"/>
      <c r="K32" s="45"/>
      <c r="L32" s="12"/>
      <c r="M32" s="12"/>
    </row>
    <row r="33" spans="1:13" s="5" customFormat="1" ht="18" customHeight="1">
      <c r="A33" s="149" t="s">
        <v>21</v>
      </c>
      <c r="B33" s="150"/>
      <c r="C33" s="10">
        <f>(C31-C23)</f>
        <v>-21091621.529999986</v>
      </c>
      <c r="D33" s="10">
        <f>(D31-D23)</f>
        <v>-20680601.439999998</v>
      </c>
      <c r="E33" s="53">
        <f t="shared" si="0"/>
        <v>98.051263676359042</v>
      </c>
      <c r="F33" s="17"/>
      <c r="G33" s="17"/>
      <c r="H33" s="17"/>
      <c r="I33" s="74"/>
      <c r="J33" s="101"/>
      <c r="K33" s="102"/>
      <c r="L33" s="102"/>
      <c r="M33" s="102"/>
    </row>
    <row r="34" spans="1:13" ht="18" customHeight="1">
      <c r="A34" s="149" t="s">
        <v>22</v>
      </c>
      <c r="B34" s="150"/>
      <c r="C34" s="10">
        <f>(C31-C23)-(2736470+13305605.99)</f>
        <v>-37133697.519999988</v>
      </c>
      <c r="D34" s="36">
        <f>(D31-D23)-(2715426.27+13291472.94)</f>
        <v>-36687500.649999999</v>
      </c>
      <c r="E34" s="53">
        <f t="shared" si="0"/>
        <v>98.798404414858837</v>
      </c>
      <c r="F34" s="17"/>
      <c r="G34" s="17"/>
      <c r="H34" s="25"/>
      <c r="I34" s="84"/>
      <c r="J34" s="101"/>
      <c r="K34" s="102" t="s">
        <v>121</v>
      </c>
      <c r="L34" s="102"/>
      <c r="M34" s="102"/>
    </row>
    <row r="35" spans="1:13" ht="18" customHeight="1">
      <c r="A35" s="20"/>
      <c r="B35" s="21"/>
      <c r="C35" s="13"/>
      <c r="D35" s="14"/>
      <c r="E35" s="17"/>
      <c r="F35" s="17"/>
      <c r="G35" s="24"/>
      <c r="H35" s="25"/>
      <c r="I35" s="81"/>
      <c r="J35" s="101"/>
      <c r="K35" s="103">
        <v>6149282.0099999998</v>
      </c>
      <c r="L35" s="103">
        <v>6113771.6900000004</v>
      </c>
      <c r="M35" s="102"/>
    </row>
    <row r="36" spans="1:13" ht="18" customHeight="1">
      <c r="A36" s="20"/>
      <c r="B36" s="21"/>
      <c r="C36" s="13"/>
      <c r="D36" s="14"/>
      <c r="E36" s="17"/>
      <c r="F36" s="17"/>
      <c r="G36" s="24"/>
      <c r="H36" s="25"/>
      <c r="I36" s="81"/>
      <c r="J36" s="101"/>
      <c r="K36" s="103"/>
      <c r="L36" s="103"/>
      <c r="M36" s="102"/>
    </row>
    <row r="37" spans="1:13" ht="18" customHeight="1">
      <c r="A37" s="20"/>
      <c r="B37" s="21"/>
      <c r="C37" s="17"/>
      <c r="D37" s="28"/>
      <c r="E37" s="17"/>
      <c r="F37" s="17"/>
      <c r="G37" s="24"/>
      <c r="H37" s="25"/>
      <c r="I37" s="81"/>
      <c r="J37" s="101"/>
      <c r="K37" s="103" t="s">
        <v>15</v>
      </c>
      <c r="L37" s="103"/>
      <c r="M37" s="102"/>
    </row>
    <row r="38" spans="1:13" ht="18" customHeight="1">
      <c r="A38" s="20"/>
      <c r="B38" s="21"/>
      <c r="C38" s="17"/>
      <c r="D38" s="28"/>
      <c r="E38" s="17"/>
      <c r="F38" s="17"/>
      <c r="G38" s="24"/>
      <c r="H38" s="25"/>
      <c r="I38" s="81"/>
      <c r="J38" s="101"/>
      <c r="K38" s="103">
        <v>2418832.23</v>
      </c>
      <c r="L38" s="103">
        <v>2072730.42</v>
      </c>
      <c r="M38" s="102"/>
    </row>
    <row r="39" spans="1:13" ht="18" customHeight="1">
      <c r="A39" s="20"/>
      <c r="B39" s="21"/>
      <c r="C39" s="23"/>
      <c r="D39" s="28"/>
      <c r="E39" s="17"/>
      <c r="F39" s="17"/>
      <c r="G39" s="17"/>
      <c r="H39" s="17"/>
      <c r="I39" s="81"/>
      <c r="J39" s="101"/>
      <c r="K39" s="101"/>
      <c r="L39" s="101"/>
      <c r="M39" s="101"/>
    </row>
    <row r="40" spans="1:13" ht="18" customHeight="1">
      <c r="A40" s="20"/>
      <c r="B40" s="21"/>
      <c r="C40" s="17"/>
      <c r="D40" s="28"/>
      <c r="E40" s="17"/>
      <c r="F40" s="17"/>
      <c r="G40" s="17"/>
      <c r="H40" s="17"/>
      <c r="I40" s="84"/>
      <c r="J40" s="101"/>
      <c r="K40" s="101"/>
      <c r="L40" s="101"/>
      <c r="M40" s="101"/>
    </row>
    <row r="41" spans="1:13" ht="18" customHeight="1">
      <c r="A41" s="20"/>
      <c r="B41" s="21"/>
      <c r="C41" s="17"/>
      <c r="D41" s="28"/>
      <c r="E41" s="17"/>
      <c r="F41" s="17"/>
      <c r="G41" s="17"/>
      <c r="H41" s="25"/>
      <c r="I41" s="84"/>
      <c r="J41" s="25"/>
      <c r="K41" s="85"/>
      <c r="L41" s="86"/>
      <c r="M41" s="86"/>
    </row>
    <row r="42" spans="1:13" ht="18" customHeight="1">
      <c r="A42" s="20"/>
      <c r="B42" s="21"/>
      <c r="C42" s="17"/>
      <c r="D42" s="28"/>
      <c r="E42" s="17"/>
      <c r="F42" s="17"/>
      <c r="G42" s="17"/>
      <c r="H42" s="25"/>
      <c r="I42" s="84"/>
      <c r="J42" s="25"/>
      <c r="K42" s="85"/>
      <c r="L42" s="86"/>
      <c r="M42" s="86"/>
    </row>
    <row r="43" spans="1:13" ht="18" customHeight="1">
      <c r="A43" s="20"/>
      <c r="B43" s="21"/>
      <c r="C43" s="13"/>
      <c r="D43" s="14"/>
      <c r="E43" s="17"/>
      <c r="F43" s="17"/>
      <c r="G43" s="17"/>
      <c r="H43" s="25"/>
      <c r="I43" s="84"/>
      <c r="J43" s="25"/>
      <c r="K43" s="25"/>
      <c r="L43" s="86"/>
      <c r="M43" s="86"/>
    </row>
    <row r="44" spans="1:13" ht="18" customHeight="1">
      <c r="A44" s="20"/>
      <c r="B44" s="21"/>
      <c r="C44" s="13"/>
      <c r="D44" s="14"/>
      <c r="E44" s="17"/>
      <c r="F44" s="17"/>
      <c r="G44" s="24"/>
      <c r="H44" s="25"/>
      <c r="I44" s="84"/>
      <c r="J44" s="25"/>
      <c r="K44" s="85"/>
      <c r="L44" s="86"/>
      <c r="M44" s="86"/>
    </row>
    <row r="45" spans="1:13" ht="18" customHeight="1">
      <c r="A45" s="20"/>
      <c r="B45" s="21"/>
      <c r="C45" s="13"/>
      <c r="D45" s="14"/>
      <c r="E45" s="17"/>
      <c r="F45" s="17"/>
      <c r="G45" s="24"/>
      <c r="H45" s="25"/>
      <c r="I45" s="8"/>
      <c r="J45" s="25"/>
      <c r="K45" s="85"/>
      <c r="L45" s="86"/>
      <c r="M45" s="86"/>
    </row>
    <row r="46" spans="1:13" ht="18" customHeight="1">
      <c r="A46" s="20"/>
      <c r="B46" s="21"/>
      <c r="C46" s="13"/>
      <c r="D46" s="14"/>
      <c r="E46" s="17"/>
      <c r="F46" s="17"/>
      <c r="G46" s="24"/>
      <c r="H46" s="25"/>
      <c r="I46" s="84"/>
      <c r="J46" s="25"/>
      <c r="K46" s="85"/>
      <c r="L46" s="86"/>
      <c r="M46" s="86"/>
    </row>
    <row r="47" spans="1:13" ht="18" customHeight="1">
      <c r="A47" s="20"/>
      <c r="B47" s="21"/>
      <c r="C47" s="13"/>
      <c r="D47" s="14"/>
      <c r="E47" s="17"/>
      <c r="F47" s="17"/>
      <c r="G47" s="24"/>
      <c r="H47" s="25"/>
      <c r="I47" s="84"/>
      <c r="J47" s="25"/>
      <c r="K47" s="25"/>
      <c r="L47" s="86"/>
      <c r="M47" s="86"/>
    </row>
    <row r="48" spans="1:13" ht="18" customHeight="1">
      <c r="A48" s="20"/>
      <c r="B48" s="21"/>
      <c r="C48" s="13"/>
      <c r="D48" s="14"/>
      <c r="E48" s="17"/>
      <c r="F48" s="17"/>
      <c r="G48" s="25"/>
      <c r="H48" s="25"/>
      <c r="I48" s="84"/>
      <c r="J48" s="25"/>
      <c r="K48" s="25"/>
      <c r="L48" s="86"/>
      <c r="M48" s="86"/>
    </row>
    <row r="49" spans="1:13" ht="18" customHeight="1">
      <c r="A49" s="20"/>
      <c r="B49" s="21"/>
      <c r="C49" s="13"/>
      <c r="D49" s="14"/>
      <c r="E49" s="17"/>
      <c r="F49" s="17"/>
      <c r="G49" s="25"/>
      <c r="H49" s="25"/>
      <c r="I49" s="84"/>
      <c r="J49" s="25"/>
      <c r="K49" s="25"/>
      <c r="L49" s="86"/>
      <c r="M49" s="86"/>
    </row>
    <row r="50" spans="1:13" ht="18" customHeight="1">
      <c r="A50" s="20"/>
      <c r="B50" s="21"/>
      <c r="C50" s="13"/>
      <c r="D50" s="14"/>
      <c r="E50" s="17"/>
      <c r="F50" s="17"/>
      <c r="G50" s="25"/>
      <c r="H50" s="25"/>
      <c r="I50" s="84"/>
      <c r="J50" s="25"/>
      <c r="K50" s="25"/>
      <c r="L50" s="86"/>
      <c r="M50" s="86"/>
    </row>
    <row r="51" spans="1:13" ht="18" customHeight="1">
      <c r="A51" s="20"/>
      <c r="B51" s="21"/>
      <c r="C51" s="13"/>
      <c r="D51" s="14"/>
      <c r="E51" s="17"/>
      <c r="F51" s="17"/>
      <c r="G51" s="25"/>
      <c r="H51" s="25"/>
      <c r="I51" s="84"/>
      <c r="J51" s="25"/>
      <c r="K51" s="25"/>
      <c r="L51" s="86"/>
      <c r="M51" s="86"/>
    </row>
    <row r="52" spans="1:13" ht="18" customHeight="1">
      <c r="A52" s="20"/>
      <c r="B52" s="21"/>
      <c r="C52" s="13"/>
      <c r="D52" s="14"/>
      <c r="E52" s="17"/>
      <c r="F52" s="17"/>
      <c r="G52" s="25"/>
      <c r="H52" s="25"/>
      <c r="I52" s="84"/>
      <c r="J52" s="25"/>
      <c r="K52" s="85"/>
      <c r="L52" s="86"/>
      <c r="M52" s="86"/>
    </row>
    <row r="53" spans="1:13" ht="18" customHeight="1">
      <c r="A53" s="20"/>
      <c r="B53" s="21"/>
      <c r="C53" s="13"/>
      <c r="D53" s="14"/>
      <c r="E53" s="17"/>
      <c r="F53" s="17"/>
      <c r="G53" s="25"/>
      <c r="H53" s="25"/>
      <c r="I53" s="84"/>
      <c r="J53" s="25"/>
      <c r="K53" s="85"/>
      <c r="L53" s="86"/>
      <c r="M53" s="86"/>
    </row>
    <row r="54" spans="1:13" ht="18" customHeight="1">
      <c r="A54" s="20"/>
      <c r="B54" s="21"/>
      <c r="C54" s="13"/>
      <c r="D54" s="14"/>
      <c r="E54" s="17"/>
      <c r="F54" s="17"/>
      <c r="G54" s="25"/>
      <c r="H54" s="25"/>
      <c r="I54" s="84"/>
      <c r="J54" s="25"/>
      <c r="K54" s="85"/>
      <c r="L54" s="86"/>
      <c r="M54" s="86"/>
    </row>
    <row r="55" spans="1:13" s="5" customFormat="1" ht="18" customHeight="1">
      <c r="D55" s="14"/>
      <c r="E55" s="17"/>
      <c r="F55" s="17"/>
      <c r="G55" s="25"/>
      <c r="H55" s="25"/>
      <c r="I55" s="74"/>
      <c r="J55" s="28"/>
      <c r="K55" s="45"/>
      <c r="L55" s="12"/>
      <c r="M55" s="12"/>
    </row>
    <row r="56" spans="1:13" s="5" customFormat="1" ht="15">
      <c r="D56" s="14"/>
      <c r="E56" s="17"/>
      <c r="F56" s="17"/>
      <c r="G56" s="25"/>
      <c r="H56" s="25"/>
      <c r="I56" s="74"/>
      <c r="J56" s="28"/>
      <c r="K56" s="45"/>
      <c r="L56" s="12"/>
      <c r="M56" s="12"/>
    </row>
    <row r="57" spans="1:13" s="5" customFormat="1" ht="15">
      <c r="D57" s="14"/>
      <c r="E57" s="17"/>
      <c r="F57" s="17"/>
      <c r="G57" s="25"/>
      <c r="H57" s="25"/>
      <c r="I57" s="74"/>
      <c r="J57" s="28"/>
      <c r="K57" s="45"/>
      <c r="L57" s="12"/>
      <c r="M57" s="12"/>
    </row>
    <row r="58" spans="1:13" s="5" customFormat="1" ht="12" customHeight="1">
      <c r="D58" s="14"/>
      <c r="E58" s="17"/>
      <c r="F58" s="17"/>
      <c r="G58" s="25"/>
      <c r="H58" s="25"/>
      <c r="I58" s="74"/>
      <c r="J58" s="28"/>
      <c r="K58" s="45"/>
      <c r="L58" s="12"/>
      <c r="M58" s="12"/>
    </row>
    <row r="59" spans="1:13">
      <c r="D59" s="18"/>
      <c r="G59" s="25"/>
      <c r="H59" s="25"/>
      <c r="I59" s="84"/>
      <c r="J59" s="25"/>
      <c r="K59" s="85"/>
      <c r="L59" s="86"/>
      <c r="M59" s="86"/>
    </row>
    <row r="60" spans="1:13" ht="15">
      <c r="D60" s="18"/>
      <c r="G60" s="28"/>
      <c r="H60" s="28"/>
      <c r="I60" s="84"/>
      <c r="J60" s="25"/>
      <c r="K60" s="85"/>
      <c r="L60" s="86"/>
      <c r="M60" s="86"/>
    </row>
    <row r="61" spans="1:13">
      <c r="G61" s="25"/>
      <c r="H61" s="25"/>
      <c r="I61" s="84"/>
      <c r="J61" s="25"/>
      <c r="K61" s="85"/>
      <c r="L61" s="86"/>
      <c r="M61" s="86"/>
    </row>
    <row r="62" spans="1:13" ht="15">
      <c r="G62" s="28"/>
      <c r="H62" s="25"/>
      <c r="I62" s="84"/>
      <c r="J62" s="25"/>
      <c r="K62" s="85"/>
      <c r="L62" s="86"/>
      <c r="M62" s="86"/>
    </row>
    <row r="63" spans="1:13">
      <c r="G63" s="25"/>
      <c r="H63" s="25"/>
      <c r="I63" s="84"/>
      <c r="J63" s="25"/>
      <c r="K63" s="85"/>
      <c r="L63" s="86"/>
      <c r="M63" s="86"/>
    </row>
    <row r="64" spans="1:13">
      <c r="G64" s="25"/>
      <c r="H64" s="25"/>
      <c r="I64" s="84"/>
      <c r="J64" s="25"/>
      <c r="K64" s="85"/>
      <c r="L64" s="86"/>
      <c r="M64" s="86"/>
    </row>
    <row r="65" spans="3:13">
      <c r="G65" s="25"/>
      <c r="H65" s="25"/>
      <c r="I65" s="84"/>
      <c r="J65" s="25"/>
      <c r="K65" s="85"/>
      <c r="L65" s="86"/>
      <c r="M65" s="86"/>
    </row>
    <row r="66" spans="3:13">
      <c r="G66" s="25"/>
      <c r="H66" s="25"/>
      <c r="I66" s="84"/>
      <c r="J66" s="25"/>
      <c r="K66" s="85"/>
      <c r="L66" s="86"/>
      <c r="M66" s="86"/>
    </row>
    <row r="67" spans="3:13">
      <c r="G67" s="25"/>
      <c r="H67" s="25"/>
      <c r="I67" s="84"/>
      <c r="J67" s="25"/>
      <c r="K67" s="85"/>
      <c r="L67" s="86"/>
      <c r="M67" s="86"/>
    </row>
    <row r="68" spans="3:13">
      <c r="G68" s="25"/>
      <c r="H68" s="25"/>
      <c r="I68" s="84"/>
      <c r="J68" s="25"/>
      <c r="K68" s="85"/>
      <c r="L68" s="86"/>
      <c r="M68" s="86"/>
    </row>
    <row r="69" spans="3:13">
      <c r="G69" s="25"/>
      <c r="H69" s="25"/>
      <c r="I69" s="84"/>
      <c r="J69" s="25"/>
      <c r="K69" s="85"/>
      <c r="L69" s="86"/>
      <c r="M69" s="86"/>
    </row>
    <row r="70" spans="3:13">
      <c r="G70" s="25"/>
      <c r="H70" s="25"/>
      <c r="I70" s="84"/>
      <c r="J70" s="25"/>
      <c r="K70" s="85"/>
      <c r="L70" s="86"/>
      <c r="M70" s="86"/>
    </row>
    <row r="71" spans="3:13">
      <c r="G71" s="25"/>
      <c r="H71" s="25"/>
      <c r="I71" s="84"/>
      <c r="J71" s="25"/>
      <c r="K71" s="85"/>
      <c r="L71" s="86"/>
      <c r="M71" s="86"/>
    </row>
    <row r="72" spans="3:13">
      <c r="G72" s="25"/>
      <c r="H72" s="25"/>
      <c r="I72" s="84"/>
      <c r="J72" s="25"/>
      <c r="K72" s="85"/>
      <c r="L72" s="86"/>
      <c r="M72" s="86"/>
    </row>
    <row r="73" spans="3:13">
      <c r="G73" s="25"/>
      <c r="H73" s="25"/>
      <c r="I73" s="84"/>
      <c r="J73" s="25"/>
      <c r="K73" s="85"/>
      <c r="L73" s="86"/>
      <c r="M73" s="86"/>
    </row>
    <row r="74" spans="3:13">
      <c r="G74" s="25"/>
      <c r="H74" s="25"/>
      <c r="I74" s="84"/>
      <c r="J74" s="25"/>
      <c r="K74" s="85"/>
      <c r="L74" s="86"/>
      <c r="M74" s="86"/>
    </row>
    <row r="75" spans="3:13">
      <c r="G75" s="25"/>
      <c r="H75" s="25"/>
      <c r="I75" s="84"/>
      <c r="J75" s="25"/>
      <c r="K75" s="85"/>
      <c r="L75" s="86"/>
      <c r="M75" s="86"/>
    </row>
    <row r="76" spans="3:13">
      <c r="G76" s="25"/>
      <c r="H76" s="25"/>
      <c r="I76" s="84"/>
      <c r="J76" s="25"/>
      <c r="K76" s="85"/>
      <c r="L76" s="86"/>
      <c r="M76" s="86"/>
    </row>
    <row r="77" spans="3:13">
      <c r="G77" s="25"/>
      <c r="H77" s="25"/>
      <c r="I77" s="84"/>
      <c r="J77" s="25"/>
      <c r="K77" s="85"/>
      <c r="L77" s="86"/>
      <c r="M77" s="86"/>
    </row>
    <row r="78" spans="3:13">
      <c r="G78" s="25"/>
      <c r="H78" s="25"/>
      <c r="I78" s="84"/>
      <c r="J78" s="25"/>
      <c r="K78" s="85"/>
      <c r="L78" s="86"/>
      <c r="M78" s="86"/>
    </row>
    <row r="79" spans="3:13" s="5" customFormat="1" ht="15">
      <c r="C79" s="3"/>
      <c r="D79" s="22"/>
      <c r="G79" s="24"/>
      <c r="H79" s="24"/>
      <c r="I79" s="30"/>
      <c r="J79" s="17"/>
      <c r="K79" s="12"/>
      <c r="L79" s="12"/>
      <c r="M79" s="12"/>
    </row>
    <row r="80" spans="3:13">
      <c r="G80" s="23"/>
      <c r="H80" s="23"/>
    </row>
    <row r="81" spans="3:10">
      <c r="G81" s="23"/>
      <c r="H81" s="23"/>
    </row>
    <row r="82" spans="3:10">
      <c r="G82" s="23"/>
      <c r="H82" s="23"/>
    </row>
    <row r="83" spans="3:10">
      <c r="G83" s="23"/>
      <c r="H83" s="23"/>
    </row>
    <row r="84" spans="3:10" ht="15">
      <c r="G84" s="26"/>
      <c r="H84" s="26"/>
    </row>
    <row r="85" spans="3:10">
      <c r="G85" s="23"/>
      <c r="H85" s="23"/>
    </row>
    <row r="86" spans="3:10">
      <c r="G86" s="23"/>
      <c r="H86" s="23"/>
    </row>
    <row r="87" spans="3:10">
      <c r="G87" s="23"/>
      <c r="H87" s="23"/>
    </row>
    <row r="88" spans="3:10">
      <c r="G88" s="23"/>
      <c r="H88" s="23"/>
    </row>
    <row r="89" spans="3:10">
      <c r="G89" s="23"/>
      <c r="H89" s="23"/>
    </row>
    <row r="90" spans="3:10" s="5" customFormat="1" ht="15">
      <c r="C90" s="3"/>
      <c r="D90" s="22"/>
      <c r="G90" s="26"/>
      <c r="H90" s="26"/>
      <c r="I90" s="32"/>
      <c r="J90" s="26"/>
    </row>
    <row r="91" spans="3:10">
      <c r="G91" s="23"/>
      <c r="H91" s="23"/>
    </row>
    <row r="92" spans="3:10">
      <c r="G92" s="23"/>
      <c r="H92" s="23"/>
    </row>
    <row r="93" spans="3:10">
      <c r="G93" s="23"/>
      <c r="H93" s="23"/>
    </row>
    <row r="94" spans="3:10" s="5" customFormat="1" ht="15">
      <c r="C94" s="3"/>
      <c r="D94" s="22"/>
      <c r="G94" s="26"/>
      <c r="H94" s="26"/>
      <c r="I94" s="32"/>
      <c r="J94" s="26"/>
    </row>
    <row r="95" spans="3:10">
      <c r="G95" s="23"/>
      <c r="H95" s="23"/>
    </row>
    <row r="96" spans="3:10" s="5" customFormat="1" ht="15">
      <c r="C96" s="3"/>
      <c r="D96" s="22"/>
      <c r="G96" s="26"/>
      <c r="H96" s="26"/>
      <c r="I96" s="32"/>
      <c r="J96" s="26"/>
    </row>
    <row r="97" spans="7:8">
      <c r="G97" s="23"/>
      <c r="H97" s="23"/>
    </row>
    <row r="98" spans="7:8">
      <c r="G98" s="23"/>
      <c r="H98" s="23"/>
    </row>
    <row r="99" spans="7:8">
      <c r="G99" s="23"/>
      <c r="H99" s="23"/>
    </row>
    <row r="100" spans="7:8">
      <c r="G100" s="23"/>
      <c r="H100" s="23"/>
    </row>
    <row r="101" spans="7:8">
      <c r="G101" s="23"/>
      <c r="H101" s="23"/>
    </row>
    <row r="102" spans="7:8">
      <c r="G102" s="23"/>
      <c r="H102" s="23"/>
    </row>
    <row r="103" spans="7:8">
      <c r="G103" s="23"/>
      <c r="H103" s="23"/>
    </row>
    <row r="104" spans="7:8">
      <c r="G104" s="23"/>
      <c r="H104" s="23"/>
    </row>
    <row r="105" spans="7:8">
      <c r="G105" s="23"/>
      <c r="H105" s="23"/>
    </row>
    <row r="106" spans="7:8">
      <c r="G106" s="23"/>
      <c r="H106" s="23"/>
    </row>
    <row r="107" spans="7:8">
      <c r="G107" s="23"/>
      <c r="H107" s="23"/>
    </row>
    <row r="108" spans="7:8">
      <c r="G108" s="23"/>
      <c r="H108" s="23"/>
    </row>
    <row r="109" spans="7:8">
      <c r="G109" s="23"/>
      <c r="H109" s="23"/>
    </row>
    <row r="110" spans="7:8">
      <c r="G110" s="23"/>
      <c r="H110" s="23"/>
    </row>
    <row r="111" spans="7:8">
      <c r="G111" s="23"/>
      <c r="H111" s="23"/>
    </row>
    <row r="112" spans="7:8">
      <c r="G112" s="23"/>
      <c r="H112" s="23"/>
    </row>
    <row r="113" spans="7:8">
      <c r="G113" s="23"/>
      <c r="H113" s="23"/>
    </row>
    <row r="114" spans="7:8">
      <c r="G114" s="23"/>
      <c r="H114" s="23"/>
    </row>
  </sheetData>
  <mergeCells count="5">
    <mergeCell ref="A34:B34"/>
    <mergeCell ref="A4:E4"/>
    <mergeCell ref="A33:B33"/>
    <mergeCell ref="A1:E1"/>
    <mergeCell ref="D2:E2"/>
  </mergeCells>
  <phoneticPr fontId="3" type="noConversion"/>
  <pageMargins left="0.86614173228346458" right="0.43307086614173229" top="0.31496062992125984" bottom="0.59055118110236227" header="0.27559055118110237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Wydatki jednostek oświatowych</vt:lpstr>
      <vt:lpstr>zbio</vt:lpstr>
      <vt:lpstr>zbio!Obszar_wydruku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Miasta w Piotrkowie T.</dc:creator>
  <cp:lastModifiedBy>UM w Piotrkowie Tryb.</cp:lastModifiedBy>
  <cp:lastPrinted>2011-03-09T07:25:07Z</cp:lastPrinted>
  <dcterms:created xsi:type="dcterms:W3CDTF">2003-12-04T11:30:36Z</dcterms:created>
  <dcterms:modified xsi:type="dcterms:W3CDTF">2011-04-01T08:46:59Z</dcterms:modified>
</cp:coreProperties>
</file>