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JEDNOSTKI ROCZNE" sheetId="1" r:id="rId1"/>
    <sheet name="zbio" sheetId="2" r:id="rId2"/>
  </sheets>
  <definedNames>
    <definedName name="_xlnm.Print_Area" localSheetId="1">'zbio'!$A$1:$E$44</definedName>
  </definedNames>
  <calcPr fullCalcOnLoad="1"/>
</workbook>
</file>

<file path=xl/sharedStrings.xml><?xml version="1.0" encoding="utf-8"?>
<sst xmlns="http://schemas.openxmlformats.org/spreadsheetml/2006/main" count="160" uniqueCount="140">
  <si>
    <t>Szkoła</t>
  </si>
  <si>
    <t>1.</t>
  </si>
  <si>
    <t>2.</t>
  </si>
  <si>
    <t>3.</t>
  </si>
  <si>
    <t>GMINA</t>
  </si>
  <si>
    <t>POWIAT</t>
  </si>
  <si>
    <t>RAZEM</t>
  </si>
  <si>
    <t>MZEA</t>
  </si>
  <si>
    <t>4.</t>
  </si>
  <si>
    <t>5.</t>
  </si>
  <si>
    <t>6.</t>
  </si>
  <si>
    <t>7.</t>
  </si>
  <si>
    <t>I LO</t>
  </si>
  <si>
    <t>II LO</t>
  </si>
  <si>
    <t>III LO</t>
  </si>
  <si>
    <t>IV LO</t>
  </si>
  <si>
    <t>ZSP Nr 1</t>
  </si>
  <si>
    <t>ZSP Nr 2</t>
  </si>
  <si>
    <t>ZSP Nr 3</t>
  </si>
  <si>
    <t>ZSP Nr 4</t>
  </si>
  <si>
    <t>ZSP Nr 5</t>
  </si>
  <si>
    <t>CKP</t>
  </si>
  <si>
    <t>Bursa Szkolna</t>
  </si>
  <si>
    <t>SOSz-W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</si>
  <si>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</si>
  <si>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</si>
  <si>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</si>
  <si>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</si>
  <si>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</si>
  <si>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</si>
  <si>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</si>
  <si>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</si>
  <si>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</si>
  <si>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</si>
  <si>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</si>
  <si>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</si>
  <si>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</si>
  <si>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Subwencja oświatowa</t>
  </si>
  <si>
    <t>I</t>
  </si>
  <si>
    <t>II</t>
  </si>
  <si>
    <t>III</t>
  </si>
  <si>
    <t>WYDATKI</t>
  </si>
  <si>
    <t>Lp.</t>
  </si>
  <si>
    <t>21.</t>
  </si>
  <si>
    <t>22.</t>
  </si>
  <si>
    <t>Gimnazjum Nr 1</t>
  </si>
  <si>
    <t>Gimnazjum Nr 2</t>
  </si>
  <si>
    <t>Gimnazjum Nr 3</t>
  </si>
  <si>
    <t>Gimnazjum Nr 4</t>
  </si>
  <si>
    <t>Gimnazjum Nr 5</t>
  </si>
  <si>
    <t>ZSP Nr 6</t>
  </si>
  <si>
    <t>Gimnazjum w ZSP Nr 6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</si>
  <si>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</si>
  <si>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</si>
  <si>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</si>
  <si>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</si>
  <si>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</si>
  <si>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</si>
  <si>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</si>
  <si>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</si>
  <si>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</si>
  <si>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</si>
  <si>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</si>
  <si>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</si>
  <si>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</si>
  <si>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</si>
  <si>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Nazwa</t>
  </si>
  <si>
    <t>Jednostki oświatowe gminne</t>
  </si>
  <si>
    <t>Jednostki oświatowe powiatowe</t>
  </si>
  <si>
    <t>Jednostki oświatowe razem</t>
  </si>
  <si>
    <t xml:space="preserve">inwestycje </t>
  </si>
  <si>
    <t>Szkoła Podstawowa Nr 2</t>
  </si>
  <si>
    <t>Szkoła Podstawowa Nr 3</t>
  </si>
  <si>
    <t>Szkoła Podstawowa Nr 5</t>
  </si>
  <si>
    <t>Szkoła Podstawowa Nr 8</t>
  </si>
  <si>
    <t>Szkoła Podstawowa Nr 10</t>
  </si>
  <si>
    <t>Szkoła Podstawowa Nr 11</t>
  </si>
  <si>
    <t>Szkoła Podstawowa Nr 12</t>
  </si>
  <si>
    <t>Szkoła Podstawowa Nr 13</t>
  </si>
  <si>
    <t>Szkoła Podstawowa Nr 16</t>
  </si>
  <si>
    <t>Dotacje</t>
  </si>
  <si>
    <t>I.</t>
  </si>
  <si>
    <t>II.</t>
  </si>
  <si>
    <t>Urząd Miasta</t>
  </si>
  <si>
    <t>Przedszkole Samorządowe Nr 1</t>
  </si>
  <si>
    <t>Przedszkole Samorządowe Nr 5</t>
  </si>
  <si>
    <t>Przedszkole Samorządowe Nr 7</t>
  </si>
  <si>
    <t>Przedszkole Samorządowe Nr 8</t>
  </si>
  <si>
    <t>Przedszkole Samorządowe Nr 11</t>
  </si>
  <si>
    <t>Przedszkole Samorządowe Nr 12</t>
  </si>
  <si>
    <t>Przedszkole Samorządowe Nr 14</t>
  </si>
  <si>
    <t>Przedszkole Samorządowe Nr 15</t>
  </si>
  <si>
    <t>Przedszkole Samorządowe Nr 16</t>
  </si>
  <si>
    <t>Przedszkole Samorządowe Nr 19</t>
  </si>
  <si>
    <t>Przedszkole Samorządowe Nr 20</t>
  </si>
  <si>
    <t xml:space="preserve">Przedszkole Samorządowe Nr 24 </t>
  </si>
  <si>
    <t>Przedszkole Samorządowe Nr 26</t>
  </si>
  <si>
    <t>37.</t>
  </si>
  <si>
    <t>38.</t>
  </si>
  <si>
    <t>39.</t>
  </si>
  <si>
    <t>40.</t>
  </si>
  <si>
    <t>41.</t>
  </si>
  <si>
    <t>42.</t>
  </si>
  <si>
    <t>43.</t>
  </si>
  <si>
    <t>Wydział Rozwoju Miasta</t>
  </si>
  <si>
    <t>9.11.</t>
  </si>
  <si>
    <t>Pion Sekretarza</t>
  </si>
  <si>
    <t>RAZEM I +II</t>
  </si>
  <si>
    <t>stypendia</t>
  </si>
  <si>
    <t>dotacje dla szkół niepublicznych</t>
  </si>
  <si>
    <t>pozostałe zadania oświatowe</t>
  </si>
  <si>
    <t>Środki z UE</t>
  </si>
  <si>
    <t>4:3</t>
  </si>
  <si>
    <t>inw</t>
  </si>
  <si>
    <t>doch</t>
  </si>
  <si>
    <t>WYDATKI JEDNOSTEK OŚWIATOWYCH</t>
  </si>
  <si>
    <t>dochody - wydatki z przedszkolami</t>
  </si>
  <si>
    <t>dochody - wydatki bez przedszkoli</t>
  </si>
  <si>
    <t>Poradnia Psychologiczno - Pedagogiczna</t>
  </si>
  <si>
    <t>Dochody jednostek oświatowych</t>
  </si>
  <si>
    <t>%                                                                                                                                                                                                                           wykon.</t>
  </si>
  <si>
    <t>80146 w przedsz</t>
  </si>
  <si>
    <t>ok.</t>
  </si>
  <si>
    <t xml:space="preserve"> ok.</t>
  </si>
  <si>
    <t>Plan na 2007 r.</t>
  </si>
  <si>
    <t xml:space="preserve">Biuro Rady Miasta </t>
  </si>
  <si>
    <t>Referat Edukacji</t>
  </si>
  <si>
    <t>Referat Kultury, Sportu                      i Promocji Miasta</t>
  </si>
  <si>
    <t>Pełnomocnik ds. Profilaktyki               i Rozwiazywania Problemów Alkoholowych, Zdrowia i Pomocy Społecznej</t>
  </si>
  <si>
    <t>przedszk.</t>
  </si>
  <si>
    <t>Tabela nr 9</t>
  </si>
  <si>
    <t>Zespół Szkolno-Gimnazjalny Nr 1</t>
  </si>
  <si>
    <t>44.</t>
  </si>
  <si>
    <t>Wykonanie                         za 2007 r.</t>
  </si>
  <si>
    <t>Biuro Inwestycji i Remontów</t>
  </si>
  <si>
    <t>Biuro Partnerstwa i Funduszy</t>
  </si>
  <si>
    <t>Wykonanie za             2007 r.</t>
  </si>
  <si>
    <t>WYDATKI DOTYCZĄCE OŚWIATY I EDUKACYJNEJ OPIEKI WYCHOWAWCZEJ Z PODZIAŁEM NA JEDNOSTKI I KOMÓRKI ORGANIZACYJNE</t>
  </si>
  <si>
    <t>DOCHODY WG ŹRÓDEŁ</t>
  </si>
  <si>
    <t>Tabela nr 10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</si>
</sst>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12" fillId="0" borderId="0" xfId="0" applyNumberFormat="1" applyFont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vertical="center"/>
    </xf>
    <xf numFmtId="3" fontId="13" fillId="0" borderId="0" xfId="15" applyNumberFormat="1" applyFont="1" applyAlignment="1">
      <alignment vertical="center"/>
    </xf>
    <xf numFmtId="3" fontId="13" fillId="0" borderId="0" xfId="15" applyNumberFormat="1" applyFont="1" applyAlignment="1">
      <alignment horizontal="right" vertical="center"/>
    </xf>
    <xf numFmtId="1" fontId="13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2" fillId="0" borderId="1" xfId="0" applyFont="1" applyFill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 wrapText="1"/>
    </xf>
    <xf numFmtId="4" fontId="12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3" fillId="0" borderId="5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/>
    </xf>
    <xf numFmtId="4" fontId="13" fillId="0" borderId="11" xfId="0" applyNumberFormat="1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110" zoomScaleNormal="110" workbookViewId="0" topLeftCell="A1">
      <selection activeCell="C9" sqref="C8:C9"/>
    </sheetView>
  </sheetViews>
  <sheetFormatPr defaultColWidth="9.00390625" defaultRowHeight="12.75"/>
  <cols>
    <col min="1" max="1" width="6.00390625" style="8" customWidth="1"/>
    <col min="2" max="2" width="38.625" style="8" customWidth="1"/>
    <col min="3" max="3" width="20.25390625" style="21" customWidth="1"/>
    <col min="4" max="4" width="21.00390625" style="21" customWidth="1"/>
    <col min="5" max="5" width="9.00390625" style="8" customWidth="1"/>
    <col min="6" max="6" width="4.25390625" style="8" customWidth="1"/>
    <col min="7" max="7" width="18.625" style="12" customWidth="1"/>
    <col min="8" max="8" width="15.25390625" style="12" customWidth="1"/>
    <col min="9" max="9" width="19.00390625" style="12" customWidth="1"/>
    <col min="10" max="10" width="16.25390625" style="12" customWidth="1"/>
    <col min="11" max="16384" width="9.125" style="12" customWidth="1"/>
  </cols>
  <sheetData>
    <row r="1" spans="1:6" ht="15">
      <c r="A1" s="135">
        <v>149</v>
      </c>
      <c r="B1" s="135"/>
      <c r="C1" s="135"/>
      <c r="D1" s="135"/>
      <c r="E1" s="135"/>
      <c r="F1" s="135"/>
    </row>
    <row r="2" spans="4:5" ht="12.75" customHeight="1">
      <c r="D2" s="136" t="s">
        <v>139</v>
      </c>
      <c r="E2" s="136"/>
    </row>
    <row r="3" spans="1:6" ht="15" customHeight="1">
      <c r="A3" s="137" t="s">
        <v>115</v>
      </c>
      <c r="B3" s="137"/>
      <c r="C3" s="137"/>
      <c r="D3" s="137"/>
      <c r="E3" s="137"/>
      <c r="F3" s="11"/>
    </row>
    <row r="4" spans="2:7" ht="13.5" customHeight="1">
      <c r="B4" s="13"/>
      <c r="C4" s="20"/>
      <c r="F4" s="11"/>
      <c r="G4" s="125" t="s">
        <v>122</v>
      </c>
    </row>
    <row r="5" spans="1:6" s="2" customFormat="1" ht="29.25" customHeight="1">
      <c r="A5" s="1" t="s">
        <v>42</v>
      </c>
      <c r="B5" s="7" t="s">
        <v>0</v>
      </c>
      <c r="C5" s="1" t="s">
        <v>124</v>
      </c>
      <c r="D5" s="58" t="s">
        <v>133</v>
      </c>
      <c r="E5" s="52" t="s">
        <v>112</v>
      </c>
      <c r="F5" s="8"/>
    </row>
    <row r="6" spans="1:6" s="4" customFormat="1" ht="10.5" customHeight="1">
      <c r="A6" s="3">
        <v>1</v>
      </c>
      <c r="B6" s="3">
        <v>2</v>
      </c>
      <c r="C6" s="3">
        <v>3</v>
      </c>
      <c r="D6" s="59">
        <v>4</v>
      </c>
      <c r="E6" s="3">
        <v>5</v>
      </c>
      <c r="F6" s="14"/>
    </row>
    <row r="7" spans="1:6" s="2" customFormat="1" ht="16.5" customHeight="1">
      <c r="A7" s="15" t="s">
        <v>1</v>
      </c>
      <c r="B7" s="16" t="s">
        <v>71</v>
      </c>
      <c r="C7" s="131">
        <f>946072-872</f>
        <v>945200</v>
      </c>
      <c r="D7" s="45">
        <f>942835.47-861.76</f>
        <v>941973.71</v>
      </c>
      <c r="E7" s="45">
        <f>D7/C7*100</f>
        <v>99.65866589081675</v>
      </c>
      <c r="F7" s="8"/>
    </row>
    <row r="8" spans="1:6" s="2" customFormat="1" ht="16.5" customHeight="1">
      <c r="A8" s="15" t="s">
        <v>2</v>
      </c>
      <c r="B8" s="16" t="s">
        <v>72</v>
      </c>
      <c r="C8" s="131">
        <f>2031330-5490</f>
        <v>2025840</v>
      </c>
      <c r="D8" s="45">
        <f>2031314.09-5488.37</f>
        <v>2025825.72</v>
      </c>
      <c r="E8" s="45">
        <f aca="true" t="shared" si="0" ref="E8:E54">D8/C8*100</f>
        <v>99.99929510721478</v>
      </c>
      <c r="F8" s="8"/>
    </row>
    <row r="9" spans="1:8" s="2" customFormat="1" ht="16.5" customHeight="1">
      <c r="A9" s="15" t="s">
        <v>3</v>
      </c>
      <c r="B9" s="16" t="s">
        <v>73</v>
      </c>
      <c r="C9" s="131">
        <f>2292775-18529</f>
        <v>2274246</v>
      </c>
      <c r="D9" s="45">
        <f>2279540.49-18522.03</f>
        <v>2261018.4600000004</v>
      </c>
      <c r="E9" s="45">
        <f t="shared" si="0"/>
        <v>99.4183769038178</v>
      </c>
      <c r="F9" s="8"/>
      <c r="G9" s="5"/>
      <c r="H9" s="6"/>
    </row>
    <row r="10" spans="1:6" s="2" customFormat="1" ht="16.5" customHeight="1">
      <c r="A10" s="15" t="s">
        <v>8</v>
      </c>
      <c r="B10" s="16" t="s">
        <v>74</v>
      </c>
      <c r="C10" s="131">
        <f>1589259-4030</f>
        <v>1585229</v>
      </c>
      <c r="D10" s="45">
        <f>1585152.62-4013.56</f>
        <v>1581139.06</v>
      </c>
      <c r="E10" s="45">
        <f t="shared" si="0"/>
        <v>99.74199689760911</v>
      </c>
      <c r="F10" s="8"/>
    </row>
    <row r="11" spans="1:6" s="2" customFormat="1" ht="16.5" customHeight="1">
      <c r="A11" s="15" t="s">
        <v>9</v>
      </c>
      <c r="B11" s="16" t="s">
        <v>75</v>
      </c>
      <c r="C11" s="131">
        <f>1823210-12305</f>
        <v>1810905</v>
      </c>
      <c r="D11" s="45">
        <f>1811988.25-12303</f>
        <v>1799685.25</v>
      </c>
      <c r="E11" s="45">
        <f t="shared" si="0"/>
        <v>99.38043409234609</v>
      </c>
      <c r="F11" s="8"/>
    </row>
    <row r="12" spans="1:6" s="2" customFormat="1" ht="16.5" customHeight="1">
      <c r="A12" s="15" t="s">
        <v>10</v>
      </c>
      <c r="B12" s="16" t="s">
        <v>76</v>
      </c>
      <c r="C12" s="131">
        <f>2253436-13278</f>
        <v>2240158</v>
      </c>
      <c r="D12" s="45">
        <f>2241130.93-13261.54</f>
        <v>2227869.39</v>
      </c>
      <c r="E12" s="45">
        <f t="shared" si="0"/>
        <v>99.45144003235487</v>
      </c>
      <c r="F12" s="8"/>
    </row>
    <row r="13" spans="1:9" s="2" customFormat="1" ht="16.5" customHeight="1">
      <c r="A13" s="15" t="s">
        <v>11</v>
      </c>
      <c r="B13" s="16" t="s">
        <v>77</v>
      </c>
      <c r="C13" s="131">
        <f>4152284-36084-26000</f>
        <v>4090200</v>
      </c>
      <c r="D13" s="45">
        <f>4128707.5-36047.74-26000</f>
        <v>4066659.76</v>
      </c>
      <c r="E13" s="45">
        <f t="shared" si="0"/>
        <v>99.42447215295095</v>
      </c>
      <c r="F13" s="8"/>
      <c r="I13" s="120"/>
    </row>
    <row r="14" spans="1:6" s="2" customFormat="1" ht="16.5" customHeight="1">
      <c r="A14" s="15" t="s">
        <v>24</v>
      </c>
      <c r="B14" s="16" t="s">
        <v>78</v>
      </c>
      <c r="C14" s="131">
        <f>2353027-11887</f>
        <v>2341140</v>
      </c>
      <c r="D14" s="45">
        <f>2342661.94-11886.07</f>
        <v>2330775.87</v>
      </c>
      <c r="E14" s="45">
        <f t="shared" si="0"/>
        <v>99.55730413388349</v>
      </c>
      <c r="F14" s="8"/>
    </row>
    <row r="15" spans="1:5" ht="16.5" customHeight="1">
      <c r="A15" s="15" t="s">
        <v>25</v>
      </c>
      <c r="B15" s="16" t="s">
        <v>79</v>
      </c>
      <c r="C15" s="9">
        <f>3125997-35058</f>
        <v>3090939</v>
      </c>
      <c r="D15" s="74">
        <f>3112521.18-35048.46</f>
        <v>3077472.72</v>
      </c>
      <c r="E15" s="45">
        <f t="shared" si="0"/>
        <v>99.56433045103769</v>
      </c>
    </row>
    <row r="16" spans="1:5" ht="16.5" customHeight="1">
      <c r="A16" s="15" t="s">
        <v>26</v>
      </c>
      <c r="B16" s="16" t="s">
        <v>131</v>
      </c>
      <c r="C16" s="9">
        <f>1661475-18000-32000</f>
        <v>1611475</v>
      </c>
      <c r="D16" s="74">
        <f>1643507.23-18000-32000</f>
        <v>1593507.23</v>
      </c>
      <c r="E16" s="45"/>
    </row>
    <row r="17" spans="1:5" ht="16.5" customHeight="1">
      <c r="A17" s="15" t="s">
        <v>27</v>
      </c>
      <c r="B17" s="16" t="s">
        <v>45</v>
      </c>
      <c r="C17" s="9">
        <f>2755898-15017</f>
        <v>2740881</v>
      </c>
      <c r="D17" s="74">
        <f>2753817.94-15015.9</f>
        <v>2738802.04</v>
      </c>
      <c r="E17" s="45">
        <f t="shared" si="0"/>
        <v>99.92414993573234</v>
      </c>
    </row>
    <row r="18" spans="1:5" ht="16.5" customHeight="1">
      <c r="A18" s="15" t="s">
        <v>28</v>
      </c>
      <c r="B18" s="16" t="s">
        <v>46</v>
      </c>
      <c r="C18" s="9">
        <f>2444057-4217</f>
        <v>2439840</v>
      </c>
      <c r="D18" s="74">
        <f>2437646.29-4214.26</f>
        <v>2433432.0300000003</v>
      </c>
      <c r="E18" s="45">
        <f t="shared" si="0"/>
        <v>99.73736105646273</v>
      </c>
    </row>
    <row r="19" spans="1:5" ht="16.5" customHeight="1">
      <c r="A19" s="15" t="s">
        <v>29</v>
      </c>
      <c r="B19" s="16" t="s">
        <v>47</v>
      </c>
      <c r="C19" s="9">
        <f>1787822-6006</f>
        <v>1781816</v>
      </c>
      <c r="D19" s="74">
        <f>1787520.07-6004.75</f>
        <v>1781515.32</v>
      </c>
      <c r="E19" s="45">
        <f t="shared" si="0"/>
        <v>99.98312508137765</v>
      </c>
    </row>
    <row r="20" spans="1:5" ht="16.5" customHeight="1">
      <c r="A20" s="15" t="s">
        <v>30</v>
      </c>
      <c r="B20" s="16" t="s">
        <v>48</v>
      </c>
      <c r="C20" s="9">
        <f>2954833-17513-30000</f>
        <v>2907320</v>
      </c>
      <c r="D20" s="74">
        <f>2948842.51-17510.99-30000</f>
        <v>2901331.5199999996</v>
      </c>
      <c r="E20" s="45">
        <f t="shared" si="0"/>
        <v>99.79402061004635</v>
      </c>
    </row>
    <row r="21" spans="1:5" ht="16.5" customHeight="1">
      <c r="A21" s="15" t="s">
        <v>31</v>
      </c>
      <c r="B21" s="16" t="s">
        <v>49</v>
      </c>
      <c r="C21" s="9">
        <f>4641175-35476-33000</f>
        <v>4572699</v>
      </c>
      <c r="D21" s="74">
        <f>4634579.59-35474.12-33000</f>
        <v>4566105.47</v>
      </c>
      <c r="E21" s="45">
        <f t="shared" si="0"/>
        <v>99.85580660349609</v>
      </c>
    </row>
    <row r="22" spans="1:5" ht="16.5" customHeight="1">
      <c r="A22" s="15" t="s">
        <v>32</v>
      </c>
      <c r="B22" s="16" t="s">
        <v>84</v>
      </c>
      <c r="C22" s="9">
        <v>740800</v>
      </c>
      <c r="D22" s="74">
        <v>735991.53</v>
      </c>
      <c r="E22" s="45">
        <f t="shared" si="0"/>
        <v>99.35090847732182</v>
      </c>
    </row>
    <row r="23" spans="1:5" ht="16.5" customHeight="1">
      <c r="A23" s="15" t="s">
        <v>33</v>
      </c>
      <c r="B23" s="16" t="s">
        <v>85</v>
      </c>
      <c r="C23" s="9">
        <f>822710</f>
        <v>822710</v>
      </c>
      <c r="D23" s="74">
        <v>820007.25</v>
      </c>
      <c r="E23" s="45">
        <f t="shared" si="0"/>
        <v>99.67148205321438</v>
      </c>
    </row>
    <row r="24" spans="1:8" ht="16.5" customHeight="1">
      <c r="A24" s="15" t="s">
        <v>34</v>
      </c>
      <c r="B24" s="16" t="s">
        <v>86</v>
      </c>
      <c r="C24" s="9">
        <v>848040</v>
      </c>
      <c r="D24" s="74">
        <v>847959.74</v>
      </c>
      <c r="E24" s="45">
        <f t="shared" si="0"/>
        <v>99.9905358237819</v>
      </c>
      <c r="G24" s="18">
        <f>SUM(C22:C34)</f>
        <v>10050180</v>
      </c>
      <c r="H24" s="87">
        <f>SUM(D22:D34)</f>
        <v>9997815.54</v>
      </c>
    </row>
    <row r="25" spans="1:5" ht="16.5" customHeight="1">
      <c r="A25" s="15" t="s">
        <v>35</v>
      </c>
      <c r="B25" s="16" t="s">
        <v>87</v>
      </c>
      <c r="C25" s="9">
        <v>823290</v>
      </c>
      <c r="D25" s="74">
        <v>822287.03</v>
      </c>
      <c r="E25" s="45">
        <f t="shared" si="0"/>
        <v>99.87817536955387</v>
      </c>
    </row>
    <row r="26" spans="1:5" ht="16.5" customHeight="1">
      <c r="A26" s="15" t="s">
        <v>36</v>
      </c>
      <c r="B26" s="16" t="s">
        <v>88</v>
      </c>
      <c r="C26" s="9">
        <v>597440</v>
      </c>
      <c r="D26" s="74">
        <v>595068.25</v>
      </c>
      <c r="E26" s="45">
        <f t="shared" si="0"/>
        <v>99.60301452865559</v>
      </c>
    </row>
    <row r="27" spans="1:5" ht="16.5" customHeight="1">
      <c r="A27" s="15" t="s">
        <v>43</v>
      </c>
      <c r="B27" s="16" t="s">
        <v>89</v>
      </c>
      <c r="C27" s="9">
        <v>550930</v>
      </c>
      <c r="D27" s="74">
        <v>548906.06</v>
      </c>
      <c r="E27" s="45">
        <f t="shared" si="0"/>
        <v>99.63263209482149</v>
      </c>
    </row>
    <row r="28" spans="1:5" ht="16.5" customHeight="1">
      <c r="A28" s="15" t="s">
        <v>44</v>
      </c>
      <c r="B28" s="16" t="s">
        <v>90</v>
      </c>
      <c r="C28" s="9">
        <v>855460</v>
      </c>
      <c r="D28" s="74">
        <v>851866.72</v>
      </c>
      <c r="E28" s="45">
        <f t="shared" si="0"/>
        <v>99.57995932013186</v>
      </c>
    </row>
    <row r="29" spans="1:5" ht="16.5" customHeight="1">
      <c r="A29" s="15" t="s">
        <v>52</v>
      </c>
      <c r="B29" s="16" t="s">
        <v>91</v>
      </c>
      <c r="C29" s="9">
        <v>865240</v>
      </c>
      <c r="D29" s="74">
        <v>852296</v>
      </c>
      <c r="E29" s="45">
        <f t="shared" si="0"/>
        <v>98.50399889048126</v>
      </c>
    </row>
    <row r="30" spans="1:9" ht="16.5" customHeight="1">
      <c r="A30" s="15" t="s">
        <v>53</v>
      </c>
      <c r="B30" s="16" t="s">
        <v>92</v>
      </c>
      <c r="C30" s="9">
        <v>453830</v>
      </c>
      <c r="D30" s="74">
        <v>451928.43</v>
      </c>
      <c r="E30" s="45">
        <f t="shared" si="0"/>
        <v>99.58099508626577</v>
      </c>
      <c r="H30" s="12">
        <v>79732677</v>
      </c>
      <c r="I30" s="12">
        <v>42159132.16</v>
      </c>
    </row>
    <row r="31" spans="1:9" ht="16.5" customHeight="1">
      <c r="A31" s="15" t="s">
        <v>54</v>
      </c>
      <c r="B31" s="16" t="s">
        <v>93</v>
      </c>
      <c r="C31" s="9">
        <v>1035900</v>
      </c>
      <c r="D31" s="74">
        <f>1029746.21</f>
        <v>1029746.21</v>
      </c>
      <c r="E31" s="45">
        <f t="shared" si="0"/>
        <v>99.4059474852785</v>
      </c>
      <c r="H31" s="18">
        <f>SUM(C22:C34)</f>
        <v>10050180</v>
      </c>
      <c r="I31" s="87">
        <f>SUM(D22:D34)</f>
        <v>9997815.54</v>
      </c>
    </row>
    <row r="32" spans="1:9" ht="16.5" customHeight="1">
      <c r="A32" s="15" t="s">
        <v>55</v>
      </c>
      <c r="B32" s="16" t="s">
        <v>94</v>
      </c>
      <c r="C32" s="9">
        <v>728840</v>
      </c>
      <c r="D32" s="74">
        <v>723795.36</v>
      </c>
      <c r="E32" s="45">
        <f t="shared" si="0"/>
        <v>99.3078535755447</v>
      </c>
      <c r="H32" s="18">
        <f>H30-H31</f>
        <v>69682497</v>
      </c>
      <c r="I32" s="18">
        <f>I30-I31</f>
        <v>32161316.619999997</v>
      </c>
    </row>
    <row r="33" spans="1:5" ht="16.5" customHeight="1">
      <c r="A33" s="15" t="s">
        <v>56</v>
      </c>
      <c r="B33" s="16" t="s">
        <v>95</v>
      </c>
      <c r="C33" s="9">
        <v>1228630</v>
      </c>
      <c r="D33" s="74">
        <v>1224924.7</v>
      </c>
      <c r="E33" s="45">
        <f t="shared" si="0"/>
        <v>99.69842019159552</v>
      </c>
    </row>
    <row r="34" spans="1:5" ht="16.5" customHeight="1">
      <c r="A34" s="15" t="s">
        <v>57</v>
      </c>
      <c r="B34" s="16" t="s">
        <v>96</v>
      </c>
      <c r="C34" s="9">
        <v>499070</v>
      </c>
      <c r="D34" s="74">
        <v>493038.26</v>
      </c>
      <c r="E34" s="45">
        <f t="shared" si="0"/>
        <v>98.79140401146131</v>
      </c>
    </row>
    <row r="35" spans="1:7" ht="16.5" customHeight="1">
      <c r="A35" s="15" t="s">
        <v>58</v>
      </c>
      <c r="B35" s="16" t="s">
        <v>51</v>
      </c>
      <c r="C35" s="9">
        <v>133998</v>
      </c>
      <c r="D35" s="74">
        <v>133997.17</v>
      </c>
      <c r="E35" s="45">
        <f t="shared" si="0"/>
        <v>99.99938058776998</v>
      </c>
      <c r="G35" s="17"/>
    </row>
    <row r="36" spans="1:5" ht="16.5" customHeight="1">
      <c r="A36" s="15" t="s">
        <v>59</v>
      </c>
      <c r="B36" s="16" t="s">
        <v>7</v>
      </c>
      <c r="C36" s="9">
        <v>1813709</v>
      </c>
      <c r="D36" s="74">
        <v>1222853.13</v>
      </c>
      <c r="E36" s="45">
        <f t="shared" si="0"/>
        <v>67.42278557365046</v>
      </c>
    </row>
    <row r="37" spans="1:7" ht="16.5" customHeight="1">
      <c r="A37" s="15" t="s">
        <v>60</v>
      </c>
      <c r="B37" s="16" t="s">
        <v>12</v>
      </c>
      <c r="C37" s="9">
        <f>9953+2114245</f>
        <v>2124198</v>
      </c>
      <c r="D37" s="132">
        <f>9952.3+2114154.32</f>
        <v>2124106.6199999996</v>
      </c>
      <c r="E37" s="45">
        <f t="shared" si="0"/>
        <v>99.99569814113372</v>
      </c>
      <c r="G37" s="18"/>
    </row>
    <row r="38" spans="1:5" ht="16.5" customHeight="1">
      <c r="A38" s="15" t="s">
        <v>61</v>
      </c>
      <c r="B38" s="16" t="s">
        <v>13</v>
      </c>
      <c r="C38" s="9">
        <v>2268983</v>
      </c>
      <c r="D38" s="74">
        <v>2268475.65</v>
      </c>
      <c r="E38" s="45">
        <f t="shared" si="0"/>
        <v>99.97763976195502</v>
      </c>
    </row>
    <row r="39" spans="1:5" ht="16.5" customHeight="1">
      <c r="A39" s="15" t="s">
        <v>62</v>
      </c>
      <c r="B39" s="16" t="s">
        <v>14</v>
      </c>
      <c r="C39" s="9">
        <v>2428010</v>
      </c>
      <c r="D39" s="74">
        <v>2416889.25</v>
      </c>
      <c r="E39" s="45">
        <f t="shared" si="0"/>
        <v>99.54198088146259</v>
      </c>
    </row>
    <row r="40" spans="1:5" ht="16.5" customHeight="1">
      <c r="A40" s="15" t="s">
        <v>63</v>
      </c>
      <c r="B40" s="16" t="s">
        <v>15</v>
      </c>
      <c r="C40" s="9">
        <v>1610305</v>
      </c>
      <c r="D40" s="74">
        <v>1605602.24</v>
      </c>
      <c r="E40" s="45">
        <f>D40/C40*100</f>
        <v>99.70795843023527</v>
      </c>
    </row>
    <row r="41" spans="1:7" ht="16.5" customHeight="1">
      <c r="A41" s="15" t="s">
        <v>64</v>
      </c>
      <c r="B41" s="16" t="s">
        <v>16</v>
      </c>
      <c r="C41" s="9">
        <v>3627644</v>
      </c>
      <c r="D41" s="74">
        <v>3625815.29</v>
      </c>
      <c r="E41" s="45">
        <f t="shared" si="0"/>
        <v>99.94958959589198</v>
      </c>
      <c r="G41" s="18"/>
    </row>
    <row r="42" spans="1:6" ht="16.5" customHeight="1">
      <c r="A42" s="15" t="s">
        <v>65</v>
      </c>
      <c r="B42" s="16" t="s">
        <v>17</v>
      </c>
      <c r="C42" s="9">
        <v>4019765</v>
      </c>
      <c r="D42" s="74">
        <v>4019565.57</v>
      </c>
      <c r="E42" s="45">
        <f t="shared" si="0"/>
        <v>99.9950387647039</v>
      </c>
      <c r="F42" s="10"/>
    </row>
    <row r="43" spans="1:5" ht="16.5" customHeight="1">
      <c r="A43" s="15" t="s">
        <v>97</v>
      </c>
      <c r="B43" s="16" t="s">
        <v>18</v>
      </c>
      <c r="C43" s="9">
        <v>2984671</v>
      </c>
      <c r="D43" s="74">
        <v>2984660.77</v>
      </c>
      <c r="E43" s="45">
        <f t="shared" si="0"/>
        <v>99.99965724865488</v>
      </c>
    </row>
    <row r="44" spans="1:5" ht="16.5" customHeight="1">
      <c r="A44" s="15" t="s">
        <v>98</v>
      </c>
      <c r="B44" s="16" t="s">
        <v>19</v>
      </c>
      <c r="C44" s="9">
        <v>2698553</v>
      </c>
      <c r="D44" s="74">
        <v>2686084.45</v>
      </c>
      <c r="E44" s="45">
        <f t="shared" si="0"/>
        <v>99.53795422954451</v>
      </c>
    </row>
    <row r="45" spans="1:5" ht="16.5" customHeight="1">
      <c r="A45" s="15" t="s">
        <v>99</v>
      </c>
      <c r="B45" s="16" t="s">
        <v>20</v>
      </c>
      <c r="C45" s="9">
        <v>2380347</v>
      </c>
      <c r="D45" s="74">
        <v>2380340.03</v>
      </c>
      <c r="E45" s="45">
        <f t="shared" si="0"/>
        <v>99.99970718554898</v>
      </c>
    </row>
    <row r="46" spans="1:7" ht="16.5" customHeight="1">
      <c r="A46" s="15" t="s">
        <v>100</v>
      </c>
      <c r="B46" s="16" t="s">
        <v>50</v>
      </c>
      <c r="C46" s="9">
        <v>2134102</v>
      </c>
      <c r="D46" s="74">
        <v>2134090.45</v>
      </c>
      <c r="E46" s="45">
        <f t="shared" si="0"/>
        <v>99.99945878875518</v>
      </c>
      <c r="G46" s="18"/>
    </row>
    <row r="47" spans="1:7" ht="16.5" customHeight="1">
      <c r="A47" s="15" t="s">
        <v>101</v>
      </c>
      <c r="B47" s="16" t="s">
        <v>21</v>
      </c>
      <c r="C47" s="9">
        <v>1350224</v>
      </c>
      <c r="D47" s="74">
        <v>1345724.04</v>
      </c>
      <c r="E47" s="45">
        <f t="shared" si="0"/>
        <v>99.66672492860444</v>
      </c>
      <c r="G47" s="18"/>
    </row>
    <row r="48" spans="1:9" ht="16.5" customHeight="1">
      <c r="A48" s="15" t="s">
        <v>102</v>
      </c>
      <c r="B48" s="16" t="s">
        <v>118</v>
      </c>
      <c r="C48" s="9">
        <v>1797656</v>
      </c>
      <c r="D48" s="74">
        <v>1797635.62</v>
      </c>
      <c r="E48" s="45">
        <f t="shared" si="0"/>
        <v>99.99886630145033</v>
      </c>
      <c r="G48" s="18"/>
      <c r="I48" s="87">
        <f>SUM(D37:D50)-9996.78</f>
        <v>35752174.480000004</v>
      </c>
    </row>
    <row r="49" spans="1:5" ht="16.5" customHeight="1">
      <c r="A49" s="15" t="s">
        <v>103</v>
      </c>
      <c r="B49" s="16" t="s">
        <v>22</v>
      </c>
      <c r="C49" s="9">
        <v>839868</v>
      </c>
      <c r="D49" s="74">
        <v>839306.44</v>
      </c>
      <c r="E49" s="45">
        <f t="shared" si="0"/>
        <v>99.93313711202237</v>
      </c>
    </row>
    <row r="50" spans="1:5" ht="16.5" customHeight="1">
      <c r="A50" s="15" t="s">
        <v>132</v>
      </c>
      <c r="B50" s="16" t="s">
        <v>23</v>
      </c>
      <c r="C50" s="9">
        <f>1400+5540941-2700</f>
        <v>5539641</v>
      </c>
      <c r="D50" s="74">
        <f>1400+5535083.04-2608.2</f>
        <v>5533874.84</v>
      </c>
      <c r="E50" s="45">
        <f t="shared" si="0"/>
        <v>99.89591094440956</v>
      </c>
    </row>
    <row r="51" spans="1:5" ht="16.5" customHeight="1">
      <c r="A51" s="16"/>
      <c r="B51" s="16"/>
      <c r="C51" s="9"/>
      <c r="D51" s="74"/>
      <c r="E51" s="45"/>
    </row>
    <row r="52" spans="1:5" ht="16.5" customHeight="1">
      <c r="A52" s="75" t="s">
        <v>38</v>
      </c>
      <c r="B52" s="75" t="s">
        <v>4</v>
      </c>
      <c r="C52" s="76">
        <f>SUM(C7:C36)+9953</f>
        <v>48465728</v>
      </c>
      <c r="D52" s="77">
        <f>SUM(D7:D36)+9952.3</f>
        <v>47691731.69000001</v>
      </c>
      <c r="E52" s="78">
        <f t="shared" si="0"/>
        <v>98.40300281881666</v>
      </c>
    </row>
    <row r="53" spans="1:6" ht="16.5" customHeight="1">
      <c r="A53" s="75" t="s">
        <v>39</v>
      </c>
      <c r="B53" s="75" t="s">
        <v>5</v>
      </c>
      <c r="C53" s="76">
        <f>SUM(C37:C50)-9953</f>
        <v>35794014</v>
      </c>
      <c r="D53" s="77">
        <f>SUM(D37:D50)-9952.3</f>
        <v>35752218.96000001</v>
      </c>
      <c r="E53" s="78">
        <f t="shared" si="0"/>
        <v>99.883234554247</v>
      </c>
      <c r="F53" s="10"/>
    </row>
    <row r="54" spans="1:6" s="19" customFormat="1" ht="16.5" customHeight="1">
      <c r="A54" s="79" t="s">
        <v>40</v>
      </c>
      <c r="B54" s="79" t="s">
        <v>6</v>
      </c>
      <c r="C54" s="80">
        <f>SUM(C52:C53)</f>
        <v>84259742</v>
      </c>
      <c r="D54" s="81">
        <f>SUM(D52:D53)</f>
        <v>83443950.65000002</v>
      </c>
      <c r="E54" s="82">
        <f t="shared" si="0"/>
        <v>99.03181361509512</v>
      </c>
      <c r="F54" s="8"/>
    </row>
  </sheetData>
  <mergeCells count="3">
    <mergeCell ref="A1:F1"/>
    <mergeCell ref="D2:E2"/>
    <mergeCell ref="A3:E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25390625" style="23" customWidth="1"/>
    <col min="2" max="2" width="33.625" style="23" customWidth="1"/>
    <col min="3" max="3" width="19.625" style="38" customWidth="1"/>
    <col min="4" max="4" width="20.875" style="25" customWidth="1"/>
    <col min="5" max="7" width="8.00390625" style="23" customWidth="1"/>
    <col min="8" max="8" width="19.00390625" style="23" customWidth="1"/>
    <col min="9" max="9" width="17.875" style="68" customWidth="1"/>
    <col min="10" max="10" width="16.00390625" style="38" customWidth="1"/>
    <col min="11" max="11" width="19.875" style="57" customWidth="1"/>
    <col min="12" max="12" width="16.625" style="46" customWidth="1"/>
    <col min="13" max="13" width="16.25390625" style="23" customWidth="1"/>
    <col min="14" max="16384" width="9.125" style="23" customWidth="1"/>
  </cols>
  <sheetData>
    <row r="1" spans="1:8" ht="19.5" customHeight="1">
      <c r="A1" s="141">
        <v>148</v>
      </c>
      <c r="B1" s="141"/>
      <c r="C1" s="141"/>
      <c r="D1" s="141"/>
      <c r="E1" s="141"/>
      <c r="F1" s="107"/>
      <c r="G1" s="107"/>
      <c r="H1" s="107"/>
    </row>
    <row r="2" spans="4:8" ht="18.75" customHeight="1">
      <c r="D2" s="136" t="s">
        <v>130</v>
      </c>
      <c r="E2" s="136"/>
      <c r="F2" s="73"/>
      <c r="G2" s="73"/>
      <c r="H2" s="73"/>
    </row>
    <row r="3" spans="4:8" ht="18.75" customHeight="1">
      <c r="D3" s="73"/>
      <c r="E3" s="73"/>
      <c r="F3" s="73"/>
      <c r="G3" s="73"/>
      <c r="H3" s="73"/>
    </row>
    <row r="4" spans="1:13" ht="48.75" customHeight="1">
      <c r="A4" s="140" t="s">
        <v>137</v>
      </c>
      <c r="B4" s="140"/>
      <c r="C4" s="140"/>
      <c r="D4" s="140"/>
      <c r="E4" s="140"/>
      <c r="F4" s="106"/>
      <c r="G4" s="106"/>
      <c r="H4" s="106"/>
      <c r="I4" s="68" t="s">
        <v>105</v>
      </c>
      <c r="J4" s="124" t="s">
        <v>123</v>
      </c>
      <c r="K4" s="53"/>
      <c r="L4" s="47">
        <v>45894987</v>
      </c>
      <c r="M4" s="23">
        <v>24201554.71</v>
      </c>
    </row>
    <row r="5" spans="3:13" ht="20.25" customHeight="1">
      <c r="C5" s="24"/>
      <c r="J5" s="28"/>
      <c r="K5" s="53"/>
      <c r="L5" s="47">
        <v>33833490</v>
      </c>
      <c r="M5" s="23">
        <v>17956556.04</v>
      </c>
    </row>
    <row r="6" spans="2:13" ht="18" customHeight="1">
      <c r="B6" s="26" t="s">
        <v>41</v>
      </c>
      <c r="C6" s="24"/>
      <c r="E6" s="27"/>
      <c r="F6" s="27"/>
      <c r="G6" s="27"/>
      <c r="H6" s="27"/>
      <c r="J6" s="28"/>
      <c r="K6" s="53"/>
      <c r="L6" s="47">
        <v>79728477</v>
      </c>
      <c r="M6" s="23">
        <v>42158110.75</v>
      </c>
    </row>
    <row r="7" spans="1:12" ht="18" customHeight="1">
      <c r="A7" s="25"/>
      <c r="B7" s="44"/>
      <c r="C7" s="65"/>
      <c r="E7" s="73"/>
      <c r="F7" s="73"/>
      <c r="G7" s="73"/>
      <c r="H7" s="73"/>
      <c r="J7" s="28"/>
      <c r="K7" s="53"/>
      <c r="L7" s="47"/>
    </row>
    <row r="8" spans="1:12" s="30" customFormat="1" ht="37.5" customHeight="1">
      <c r="A8" s="88" t="s">
        <v>42</v>
      </c>
      <c r="B8" s="88" t="s">
        <v>66</v>
      </c>
      <c r="C8" s="22" t="s">
        <v>124</v>
      </c>
      <c r="D8" s="22" t="s">
        <v>136</v>
      </c>
      <c r="E8" s="123" t="s">
        <v>120</v>
      </c>
      <c r="F8" s="128"/>
      <c r="G8" s="128"/>
      <c r="H8" s="122"/>
      <c r="I8" s="68"/>
      <c r="J8" s="28"/>
      <c r="K8" s="53"/>
      <c r="L8" s="48"/>
    </row>
    <row r="9" spans="1:12" s="30" customFormat="1" ht="12.75" customHeight="1">
      <c r="A9" s="88">
        <v>1</v>
      </c>
      <c r="B9" s="88">
        <v>2</v>
      </c>
      <c r="C9" s="88">
        <v>3</v>
      </c>
      <c r="D9" s="88">
        <v>4</v>
      </c>
      <c r="E9" s="22">
        <v>5</v>
      </c>
      <c r="F9" s="128"/>
      <c r="G9" s="128"/>
      <c r="H9" s="122"/>
      <c r="I9" s="68"/>
      <c r="J9" s="28"/>
      <c r="K9" s="53"/>
      <c r="L9" s="48"/>
    </row>
    <row r="10" spans="1:12" s="30" customFormat="1" ht="18" customHeight="1">
      <c r="A10" s="89" t="s">
        <v>81</v>
      </c>
      <c r="B10" s="89" t="s">
        <v>69</v>
      </c>
      <c r="C10" s="90">
        <f>SUM(C11:C12)</f>
        <v>84259742</v>
      </c>
      <c r="D10" s="91">
        <f>SUM(D11:D12)</f>
        <v>83443950.65000002</v>
      </c>
      <c r="E10" s="83">
        <f>D10/C10*100</f>
        <v>99.03181361509512</v>
      </c>
      <c r="F10" s="51"/>
      <c r="G10" s="51"/>
      <c r="H10" s="51"/>
      <c r="I10" s="69"/>
      <c r="J10" s="28"/>
      <c r="K10" s="53"/>
      <c r="L10" s="48"/>
    </row>
    <row r="11" spans="1:12" s="30" customFormat="1" ht="18" customHeight="1">
      <c r="A11" s="89" t="s">
        <v>1</v>
      </c>
      <c r="B11" s="93" t="s">
        <v>67</v>
      </c>
      <c r="C11" s="94">
        <v>48465728</v>
      </c>
      <c r="D11" s="48">
        <v>47691731.69000001</v>
      </c>
      <c r="E11" s="96">
        <f aca="true" t="shared" si="0" ref="E11:E39">D11/C11*100</f>
        <v>98.40300281881666</v>
      </c>
      <c r="F11" s="48"/>
      <c r="G11" s="48"/>
      <c r="H11" s="48"/>
      <c r="I11" s="121"/>
      <c r="J11" s="61"/>
      <c r="K11" s="54">
        <f>SUM('JEDNOSTKI ROCZNE'!C7:C35)+'JEDNOSTKI ROCZNE'!C36</f>
        <v>48455775</v>
      </c>
      <c r="L11" s="51">
        <f>SUM('JEDNOSTKI ROCZNE'!D7:D36)+9996.78</f>
        <v>47691776.17000002</v>
      </c>
    </row>
    <row r="12" spans="1:12" s="30" customFormat="1" ht="18" customHeight="1">
      <c r="A12" s="89" t="s">
        <v>2</v>
      </c>
      <c r="B12" s="93" t="s">
        <v>68</v>
      </c>
      <c r="C12" s="94">
        <v>35794014</v>
      </c>
      <c r="D12" s="95">
        <v>35752218.96000001</v>
      </c>
      <c r="E12" s="96">
        <f t="shared" si="0"/>
        <v>99.883234554247</v>
      </c>
      <c r="F12" s="48"/>
      <c r="G12" s="48"/>
      <c r="H12" s="48"/>
      <c r="I12" s="68"/>
      <c r="J12" s="61"/>
      <c r="K12" s="55">
        <f>SUM('JEDNOSTKI ROCZNE'!C37:C50)-10000</f>
        <v>35793967</v>
      </c>
      <c r="L12" s="50">
        <f>SUM('JEDNOSTKI ROCZNE'!D37:D50)-9996.78</f>
        <v>35752174.480000004</v>
      </c>
    </row>
    <row r="13" spans="1:12" s="30" customFormat="1" ht="18" customHeight="1">
      <c r="A13" s="89" t="s">
        <v>82</v>
      </c>
      <c r="B13" s="97" t="s">
        <v>83</v>
      </c>
      <c r="C13" s="90">
        <f>C14+C17+C29+C27+C28+C30+C21+C24</f>
        <v>12974719</v>
      </c>
      <c r="D13" s="91">
        <f>D14+D17+D29+D27+D28+D30+D21+D24</f>
        <v>12718981.649999999</v>
      </c>
      <c r="E13" s="83">
        <f t="shared" si="0"/>
        <v>98.02895654233436</v>
      </c>
      <c r="F13" s="51"/>
      <c r="G13" s="51"/>
      <c r="H13" s="51"/>
      <c r="I13" s="69"/>
      <c r="J13" s="61"/>
      <c r="K13" s="55"/>
      <c r="L13" s="50"/>
    </row>
    <row r="14" spans="1:12" s="26" customFormat="1" ht="18" customHeight="1">
      <c r="A14" s="89" t="s">
        <v>1</v>
      </c>
      <c r="B14" s="97" t="s">
        <v>126</v>
      </c>
      <c r="C14" s="60">
        <f>SUM(C15:C16)</f>
        <v>6685881</v>
      </c>
      <c r="D14" s="83">
        <f>SUM(D15:D16)</f>
        <v>6668322.96</v>
      </c>
      <c r="E14" s="83">
        <f t="shared" si="0"/>
        <v>99.73738629209822</v>
      </c>
      <c r="F14" s="51"/>
      <c r="G14" s="51"/>
      <c r="H14" s="116">
        <f>41054.4+25163+17977+172983.55+126060+43089.2+2200+7194+5000</f>
        <v>440721.14999999997</v>
      </c>
      <c r="I14" s="69"/>
      <c r="J14" s="24"/>
      <c r="K14" s="56"/>
      <c r="L14" s="49"/>
    </row>
    <row r="15" spans="1:12" ht="18" customHeight="1">
      <c r="A15" s="92"/>
      <c r="B15" s="93" t="s">
        <v>109</v>
      </c>
      <c r="C15" s="98">
        <f>458940+1081600+352560+2220+812198+3247402+85700+276200</f>
        <v>6316820</v>
      </c>
      <c r="D15" s="96">
        <f>457978+1071993+352271+2220+810949+3244116+84575+276199</f>
        <v>6300301</v>
      </c>
      <c r="E15" s="96">
        <f t="shared" si="0"/>
        <v>99.73849183608208</v>
      </c>
      <c r="F15" s="48"/>
      <c r="G15" s="48"/>
      <c r="H15" s="48"/>
      <c r="K15" s="103">
        <f>277005+650977+224741+703156+12895+3230015+68957+125372</f>
        <v>5293118</v>
      </c>
      <c r="L15" s="103">
        <f>277005+650485+224741+701924+12895+3229788+68748+125372</f>
        <v>5290958</v>
      </c>
    </row>
    <row r="16" spans="1:12" ht="18" customHeight="1">
      <c r="A16" s="92"/>
      <c r="B16" s="93" t="s">
        <v>110</v>
      </c>
      <c r="C16" s="98">
        <f>46708+35965+35923+155223+650+25170+46720+7200+1120+7202+3598+3582</f>
        <v>369061</v>
      </c>
      <c r="D16" s="48">
        <f>46707.3+35963.7+35922.6+154857.26+25163.1+46714.5+7194.6+1119+7201.8+3596.7+3581.4</f>
        <v>368021.95999999996</v>
      </c>
      <c r="E16" s="96">
        <f>H14/C16*100</f>
        <v>119.41688501358854</v>
      </c>
      <c r="F16" s="48"/>
      <c r="G16" s="48"/>
      <c r="H16" s="23">
        <v>462304.85</v>
      </c>
      <c r="J16" s="28"/>
      <c r="K16" s="103">
        <f>41241+25163+17977+176789+43178+2800+17987+126760+3597+7194+5000</f>
        <v>467686</v>
      </c>
      <c r="L16" s="103">
        <f>41054.4+25163+17977+172983.55+126060+43089.2+2200+7194+5000</f>
        <v>440721.14999999997</v>
      </c>
    </row>
    <row r="17" spans="1:12" s="30" customFormat="1" ht="18" customHeight="1">
      <c r="A17" s="89" t="s">
        <v>2</v>
      </c>
      <c r="B17" s="97" t="s">
        <v>104</v>
      </c>
      <c r="C17" s="60">
        <f>SUM(C18:C20)</f>
        <v>1320194</v>
      </c>
      <c r="D17" s="83">
        <f>SUM(D18:D20)</f>
        <v>1319460.22</v>
      </c>
      <c r="E17" s="83">
        <f t="shared" si="0"/>
        <v>99.94441877481643</v>
      </c>
      <c r="F17" s="51"/>
      <c r="G17" s="51"/>
      <c r="H17" s="51"/>
      <c r="I17" s="69"/>
      <c r="J17" s="34"/>
      <c r="K17" s="55"/>
      <c r="L17" s="50"/>
    </row>
    <row r="18" spans="1:12" s="30" customFormat="1" ht="18" customHeight="1">
      <c r="A18" s="92"/>
      <c r="B18" s="93" t="s">
        <v>70</v>
      </c>
      <c r="C18" s="98">
        <f>455023+86050+6557+3079</f>
        <v>550709</v>
      </c>
      <c r="D18" s="104">
        <f>455022.68+86049.01+6556.61+3078.38</f>
        <v>550706.6799999999</v>
      </c>
      <c r="E18" s="96">
        <f>D18/C18*100</f>
        <v>99.9995787248801</v>
      </c>
      <c r="F18" s="48"/>
      <c r="G18" s="48"/>
      <c r="H18" s="48"/>
      <c r="I18" s="68">
        <v>3727823.29</v>
      </c>
      <c r="J18" s="62"/>
      <c r="K18" s="55">
        <f>1770000+1550000+10000+433431</f>
        <v>3763431</v>
      </c>
      <c r="L18" s="50">
        <f>423023.91+83.46+1538800.32+1744495.23</f>
        <v>3706402.92</v>
      </c>
    </row>
    <row r="19" spans="1:12" s="30" customFormat="1" ht="18" customHeight="1">
      <c r="A19" s="92"/>
      <c r="B19" s="93" t="s">
        <v>110</v>
      </c>
      <c r="C19" s="98">
        <v>16831</v>
      </c>
      <c r="D19" s="84">
        <v>16830</v>
      </c>
      <c r="E19" s="96">
        <f t="shared" si="0"/>
        <v>99.99405858237776</v>
      </c>
      <c r="F19" s="48"/>
      <c r="G19" s="48"/>
      <c r="H19" s="48"/>
      <c r="I19" s="68"/>
      <c r="J19" s="61"/>
      <c r="K19" s="55"/>
      <c r="L19" s="50"/>
    </row>
    <row r="20" spans="1:12" s="30" customFormat="1" ht="18" customHeight="1">
      <c r="A20" s="92"/>
      <c r="B20" s="93" t="s">
        <v>108</v>
      </c>
      <c r="C20" s="98">
        <f>762290-6557-3079</f>
        <v>752654</v>
      </c>
      <c r="D20" s="84">
        <f>761558.53-6556.61-3078.38</f>
        <v>751923.54</v>
      </c>
      <c r="E20" s="96">
        <f t="shared" si="0"/>
        <v>99.90294876530253</v>
      </c>
      <c r="F20" s="48"/>
      <c r="G20" s="48"/>
      <c r="H20" s="48"/>
      <c r="I20" s="70"/>
      <c r="J20" s="63"/>
      <c r="K20" s="55"/>
      <c r="L20" s="50"/>
    </row>
    <row r="21" spans="1:12" s="30" customFormat="1" ht="18" customHeight="1">
      <c r="A21" s="92"/>
      <c r="B21" s="97" t="s">
        <v>134</v>
      </c>
      <c r="C21" s="133">
        <f>SUM(C22:C23)</f>
        <v>3346927</v>
      </c>
      <c r="D21" s="134">
        <f>SUM(D22:D23)</f>
        <v>3288026.0399999996</v>
      </c>
      <c r="E21" s="83">
        <f t="shared" si="0"/>
        <v>98.2401480522282</v>
      </c>
      <c r="F21" s="48"/>
      <c r="G21" s="48"/>
      <c r="H21" s="48"/>
      <c r="I21" s="70"/>
      <c r="J21" s="63"/>
      <c r="K21" s="55"/>
      <c r="L21" s="50"/>
    </row>
    <row r="22" spans="1:12" s="30" customFormat="1" ht="18" customHeight="1">
      <c r="A22" s="92"/>
      <c r="B22" s="93" t="s">
        <v>70</v>
      </c>
      <c r="C22" s="98">
        <f>1464977+1366950+475000</f>
        <v>3306927</v>
      </c>
      <c r="D22" s="84">
        <f>1420602.88+1357329.84+474713.32</f>
        <v>3252646.0399999996</v>
      </c>
      <c r="E22" s="96">
        <f t="shared" si="0"/>
        <v>98.35856793935879</v>
      </c>
      <c r="F22" s="48"/>
      <c r="G22" s="48"/>
      <c r="H22" s="48"/>
      <c r="I22" s="70"/>
      <c r="J22" s="63"/>
      <c r="K22" s="55"/>
      <c r="L22" s="50"/>
    </row>
    <row r="23" spans="1:12" s="30" customFormat="1" ht="18" customHeight="1">
      <c r="A23" s="92"/>
      <c r="B23" s="93" t="s">
        <v>110</v>
      </c>
      <c r="C23" s="98">
        <v>40000</v>
      </c>
      <c r="D23" s="84">
        <v>35380</v>
      </c>
      <c r="E23" s="96">
        <f t="shared" si="0"/>
        <v>88.44999999999999</v>
      </c>
      <c r="F23" s="48"/>
      <c r="G23" s="48"/>
      <c r="H23" s="48"/>
      <c r="I23" s="70"/>
      <c r="J23" s="63"/>
      <c r="K23" s="55"/>
      <c r="L23" s="50"/>
    </row>
    <row r="24" spans="1:12" s="30" customFormat="1" ht="18" customHeight="1">
      <c r="A24" s="92"/>
      <c r="B24" s="97" t="s">
        <v>135</v>
      </c>
      <c r="C24" s="60">
        <f>SUM(C25:C26)</f>
        <v>1335670</v>
      </c>
      <c r="D24" s="83">
        <f>SUM(D25:D26)</f>
        <v>1192265.11</v>
      </c>
      <c r="E24" s="83">
        <f t="shared" si="0"/>
        <v>89.26344905553019</v>
      </c>
      <c r="F24" s="48"/>
      <c r="G24" s="48"/>
      <c r="H24" s="48"/>
      <c r="I24" s="70"/>
      <c r="J24" s="63"/>
      <c r="K24" s="55"/>
      <c r="L24" s="50"/>
    </row>
    <row r="25" spans="1:12" s="30" customFormat="1" ht="18" customHeight="1">
      <c r="A25" s="92"/>
      <c r="B25" s="93" t="s">
        <v>110</v>
      </c>
      <c r="C25" s="98">
        <v>33660</v>
      </c>
      <c r="D25" s="84">
        <v>33660</v>
      </c>
      <c r="E25" s="96">
        <f t="shared" si="0"/>
        <v>100</v>
      </c>
      <c r="F25" s="48"/>
      <c r="G25" s="48"/>
      <c r="H25" s="48"/>
      <c r="I25" s="70"/>
      <c r="J25" s="63"/>
      <c r="K25" s="55"/>
      <c r="L25" s="50"/>
    </row>
    <row r="26" spans="1:12" s="30" customFormat="1" ht="18" customHeight="1">
      <c r="A26" s="92"/>
      <c r="B26" s="93" t="s">
        <v>108</v>
      </c>
      <c r="C26" s="98">
        <v>1302010</v>
      </c>
      <c r="D26" s="84">
        <v>1158605.11</v>
      </c>
      <c r="E26" s="96">
        <f t="shared" si="0"/>
        <v>88.98588413299437</v>
      </c>
      <c r="F26" s="48"/>
      <c r="G26" s="48"/>
      <c r="H26" s="48"/>
      <c r="I26" s="70"/>
      <c r="J26" s="63"/>
      <c r="K26" s="55"/>
      <c r="L26" s="50"/>
    </row>
    <row r="27" spans="1:12" s="30" customFormat="1" ht="18" customHeight="1">
      <c r="A27" s="89" t="s">
        <v>3</v>
      </c>
      <c r="B27" s="97" t="s">
        <v>125</v>
      </c>
      <c r="C27" s="60">
        <v>11682</v>
      </c>
      <c r="D27" s="85">
        <v>11656.2</v>
      </c>
      <c r="E27" s="83">
        <f t="shared" si="0"/>
        <v>99.77914740626605</v>
      </c>
      <c r="F27" s="51"/>
      <c r="G27" s="51"/>
      <c r="H27" s="48"/>
      <c r="I27" s="70"/>
      <c r="J27" s="63"/>
      <c r="K27" s="55"/>
      <c r="L27" s="50"/>
    </row>
    <row r="28" spans="1:12" s="30" customFormat="1" ht="28.5" customHeight="1">
      <c r="A28" s="89" t="s">
        <v>8</v>
      </c>
      <c r="B28" s="126" t="s">
        <v>127</v>
      </c>
      <c r="C28" s="60">
        <f>4200+21000</f>
        <v>25200</v>
      </c>
      <c r="D28" s="85">
        <v>0</v>
      </c>
      <c r="E28" s="83">
        <f t="shared" si="0"/>
        <v>0</v>
      </c>
      <c r="F28" s="51"/>
      <c r="G28" s="51"/>
      <c r="H28" s="48"/>
      <c r="I28" s="70"/>
      <c r="J28" s="63"/>
      <c r="K28" s="55"/>
      <c r="L28" s="50"/>
    </row>
    <row r="29" spans="1:12" s="30" customFormat="1" ht="18" customHeight="1">
      <c r="A29" s="89" t="s">
        <v>9</v>
      </c>
      <c r="B29" s="97" t="s">
        <v>106</v>
      </c>
      <c r="C29" s="127">
        <f>244165</f>
        <v>244165</v>
      </c>
      <c r="D29" s="91">
        <v>234728.28</v>
      </c>
      <c r="E29" s="83">
        <f t="shared" si="0"/>
        <v>96.13510535908095</v>
      </c>
      <c r="F29" s="51"/>
      <c r="G29" s="51"/>
      <c r="H29" s="51"/>
      <c r="I29" s="71"/>
      <c r="J29" s="63"/>
      <c r="K29" s="55">
        <f>294044+195200</f>
        <v>489244</v>
      </c>
      <c r="L29" s="50">
        <f>71407.18+288518.64</f>
        <v>359925.82</v>
      </c>
    </row>
    <row r="30" spans="1:12" s="30" customFormat="1" ht="58.5" customHeight="1">
      <c r="A30" s="89" t="s">
        <v>10</v>
      </c>
      <c r="B30" s="130" t="s">
        <v>128</v>
      </c>
      <c r="C30" s="127">
        <v>5000</v>
      </c>
      <c r="D30" s="105">
        <v>4522.84</v>
      </c>
      <c r="E30" s="83">
        <f t="shared" si="0"/>
        <v>90.4568</v>
      </c>
      <c r="F30" s="51"/>
      <c r="G30" s="51"/>
      <c r="H30" s="51"/>
      <c r="I30" s="71"/>
      <c r="J30" s="63"/>
      <c r="K30" s="55"/>
      <c r="L30" s="50"/>
    </row>
    <row r="31" spans="1:12" s="30" customFormat="1" ht="18" customHeight="1">
      <c r="A31" s="89"/>
      <c r="B31" s="97" t="s">
        <v>107</v>
      </c>
      <c r="C31" s="60">
        <f>C10+C13</f>
        <v>97234461</v>
      </c>
      <c r="D31" s="83">
        <f>D10+D13</f>
        <v>96162932.30000001</v>
      </c>
      <c r="E31" s="83">
        <f t="shared" si="0"/>
        <v>98.89799491972296</v>
      </c>
      <c r="F31" s="51"/>
      <c r="G31" s="51"/>
      <c r="H31" s="51"/>
      <c r="I31" s="71"/>
      <c r="J31" s="64"/>
      <c r="K31" s="55"/>
      <c r="L31" s="50"/>
    </row>
    <row r="32" spans="1:12" s="26" customFormat="1" ht="18" customHeight="1">
      <c r="A32" s="99"/>
      <c r="B32" s="99"/>
      <c r="C32" s="100"/>
      <c r="D32" s="101"/>
      <c r="E32" s="101"/>
      <c r="F32" s="51"/>
      <c r="G32" s="51"/>
      <c r="H32" s="51"/>
      <c r="I32" s="70">
        <v>80309</v>
      </c>
      <c r="J32" s="65">
        <v>12623</v>
      </c>
      <c r="K32" s="56">
        <v>4207.5</v>
      </c>
      <c r="L32" s="49"/>
    </row>
    <row r="33" spans="1:11" ht="18" customHeight="1">
      <c r="A33" s="25"/>
      <c r="B33" s="44" t="s">
        <v>138</v>
      </c>
      <c r="C33" s="29"/>
      <c r="D33" s="48"/>
      <c r="E33" s="51"/>
      <c r="F33" s="51"/>
      <c r="G33" s="51"/>
      <c r="H33" s="51"/>
      <c r="I33" s="68">
        <v>80130</v>
      </c>
      <c r="J33" s="38">
        <v>3300</v>
      </c>
      <c r="K33" s="57">
        <v>3300</v>
      </c>
    </row>
    <row r="34" spans="1:11" ht="18" customHeight="1" thickBot="1">
      <c r="A34" s="25"/>
      <c r="B34" s="44"/>
      <c r="C34" s="40"/>
      <c r="D34" s="86"/>
      <c r="E34" s="102"/>
      <c r="F34" s="51"/>
      <c r="G34" s="51"/>
      <c r="H34" s="51"/>
      <c r="I34" s="68">
        <v>80101</v>
      </c>
      <c r="J34" s="38">
        <v>69230</v>
      </c>
      <c r="K34" s="57">
        <v>60576</v>
      </c>
    </row>
    <row r="35" spans="1:12" ht="18" customHeight="1">
      <c r="A35" s="93" t="s">
        <v>1</v>
      </c>
      <c r="B35" s="93" t="s">
        <v>37</v>
      </c>
      <c r="C35" s="98">
        <v>62402460</v>
      </c>
      <c r="D35" s="118">
        <v>62402460</v>
      </c>
      <c r="E35" s="115">
        <f t="shared" si="0"/>
        <v>100</v>
      </c>
      <c r="F35" s="48"/>
      <c r="G35" s="48"/>
      <c r="H35" s="48"/>
      <c r="I35" s="68">
        <v>80103</v>
      </c>
      <c r="J35" s="66"/>
      <c r="K35" s="108"/>
      <c r="L35" s="109"/>
    </row>
    <row r="36" spans="1:12" ht="18" customHeight="1">
      <c r="A36" s="93" t="s">
        <v>2</v>
      </c>
      <c r="B36" s="93" t="s">
        <v>80</v>
      </c>
      <c r="C36" s="98">
        <v>3139232</v>
      </c>
      <c r="D36" s="96">
        <v>2420576.17</v>
      </c>
      <c r="E36" s="115">
        <f t="shared" si="0"/>
        <v>77.10727241567365</v>
      </c>
      <c r="F36" s="48"/>
      <c r="G36" s="48"/>
      <c r="H36" s="48"/>
      <c r="I36" s="68">
        <v>80104</v>
      </c>
      <c r="J36" s="67"/>
      <c r="K36" s="110"/>
      <c r="L36" s="111"/>
    </row>
    <row r="37" spans="1:12" ht="18" customHeight="1">
      <c r="A37" s="32" t="s">
        <v>3</v>
      </c>
      <c r="B37" s="93" t="s">
        <v>119</v>
      </c>
      <c r="C37" s="98">
        <v>3779422</v>
      </c>
      <c r="D37" s="119">
        <v>3639903.86</v>
      </c>
      <c r="E37" s="116">
        <f t="shared" si="0"/>
        <v>96.30847944474048</v>
      </c>
      <c r="F37" s="48"/>
      <c r="G37" s="48"/>
      <c r="H37" s="48"/>
      <c r="I37" s="68">
        <v>80114</v>
      </c>
      <c r="K37" s="110"/>
      <c r="L37" s="114"/>
    </row>
    <row r="38" spans="1:12" ht="18" customHeight="1">
      <c r="A38" s="32" t="s">
        <v>8</v>
      </c>
      <c r="B38" s="93" t="s">
        <v>111</v>
      </c>
      <c r="C38" s="98">
        <v>2656481</v>
      </c>
      <c r="D38" s="96">
        <v>2539369.8</v>
      </c>
      <c r="E38" s="116">
        <f t="shared" si="0"/>
        <v>95.59149114938144</v>
      </c>
      <c r="F38" s="48"/>
      <c r="G38" s="48"/>
      <c r="H38" s="48"/>
      <c r="I38" s="68">
        <v>80195</v>
      </c>
      <c r="J38" s="38">
        <f>31490+13803+59954</f>
        <v>105247</v>
      </c>
      <c r="K38" s="129">
        <f>31490+13802.43</f>
        <v>45292.43</v>
      </c>
      <c r="L38" s="114"/>
    </row>
    <row r="39" spans="1:12" s="26" customFormat="1" ht="18" customHeight="1" thickBot="1">
      <c r="A39" s="36"/>
      <c r="B39" s="97" t="s">
        <v>6</v>
      </c>
      <c r="C39" s="60">
        <f>SUM(C35:C38)</f>
        <v>71977595</v>
      </c>
      <c r="D39" s="83">
        <f>SUM(D35:D38)</f>
        <v>71002309.83</v>
      </c>
      <c r="E39" s="117">
        <f t="shared" si="0"/>
        <v>98.64501561909647</v>
      </c>
      <c r="F39" s="51"/>
      <c r="G39" s="51"/>
      <c r="H39" s="51"/>
      <c r="I39" s="72" t="s">
        <v>113</v>
      </c>
      <c r="J39" s="38"/>
      <c r="K39" s="112"/>
      <c r="L39" s="113"/>
    </row>
    <row r="40" spans="1:12" s="26" customFormat="1" ht="18" customHeight="1">
      <c r="A40" s="41"/>
      <c r="B40" s="33"/>
      <c r="C40" s="34"/>
      <c r="D40" s="51"/>
      <c r="E40" s="31"/>
      <c r="F40" s="39"/>
      <c r="G40" s="39"/>
      <c r="H40" s="39"/>
      <c r="I40" s="72" t="s">
        <v>121</v>
      </c>
      <c r="J40" s="38"/>
      <c r="K40" s="56"/>
      <c r="L40" s="49"/>
    </row>
    <row r="41" spans="1:12" s="26" customFormat="1" ht="18" customHeight="1">
      <c r="A41" s="138" t="s">
        <v>116</v>
      </c>
      <c r="B41" s="139"/>
      <c r="C41" s="37">
        <f>C39-C31</f>
        <v>-25256866</v>
      </c>
      <c r="D41" s="31">
        <f>D39-D31</f>
        <v>-25160622.470000014</v>
      </c>
      <c r="E41" s="31"/>
      <c r="F41" s="39"/>
      <c r="G41" s="39"/>
      <c r="H41" s="39"/>
      <c r="I41" s="68" t="s">
        <v>114</v>
      </c>
      <c r="J41" s="38"/>
      <c r="K41" s="56"/>
      <c r="L41" s="49"/>
    </row>
    <row r="42" spans="1:8" ht="18" customHeight="1">
      <c r="A42" s="138" t="s">
        <v>117</v>
      </c>
      <c r="B42" s="139"/>
      <c r="C42" s="60">
        <f>(C39-C31)+(618954+11992578)</f>
        <v>-12645334</v>
      </c>
      <c r="D42" s="83">
        <f>(D39-D31)+(618380.96+11920124.83)</f>
        <v>-12622116.680000015</v>
      </c>
      <c r="E42" s="31"/>
      <c r="F42" s="39"/>
      <c r="G42" s="39"/>
      <c r="H42" s="39"/>
    </row>
    <row r="43" spans="1:11" ht="18" customHeight="1">
      <c r="A43" s="42"/>
      <c r="B43" s="43"/>
      <c r="C43" s="34"/>
      <c r="D43" s="35"/>
      <c r="E43" s="39"/>
      <c r="F43" s="39"/>
      <c r="G43" s="39"/>
      <c r="H43" s="39"/>
      <c r="J43" s="38">
        <f>SUM(J32:J38)</f>
        <v>190400</v>
      </c>
      <c r="K43" s="103">
        <f>SUM(K32:K38)</f>
        <v>113375.93</v>
      </c>
    </row>
    <row r="44" spans="1:11" ht="18" customHeight="1">
      <c r="A44" s="42"/>
      <c r="B44" s="43"/>
      <c r="C44" s="34"/>
      <c r="D44" s="35"/>
      <c r="E44" s="39"/>
      <c r="F44" s="39"/>
      <c r="G44" s="39"/>
      <c r="H44" s="39"/>
      <c r="I44" s="68">
        <v>854</v>
      </c>
      <c r="J44" s="38">
        <v>603479</v>
      </c>
      <c r="K44" s="103">
        <v>603479</v>
      </c>
    </row>
    <row r="45" spans="1:11" ht="18" customHeight="1">
      <c r="A45" s="42"/>
      <c r="B45" s="43"/>
      <c r="C45" s="34"/>
      <c r="D45" s="35"/>
      <c r="E45" s="39"/>
      <c r="F45" s="39"/>
      <c r="G45" s="39"/>
      <c r="H45" s="39"/>
      <c r="J45" s="38">
        <f>11200+669405+655615+3132</f>
        <v>1339352</v>
      </c>
      <c r="K45" s="103">
        <f>11200+334704+263498.04+0</f>
        <v>609402.04</v>
      </c>
    </row>
    <row r="46" spans="1:11" ht="18" customHeight="1">
      <c r="A46" s="42"/>
      <c r="B46" s="43"/>
      <c r="D46" s="35"/>
      <c r="E46" s="39"/>
      <c r="F46" s="39"/>
      <c r="G46" s="39"/>
      <c r="H46" s="39"/>
      <c r="J46" s="38">
        <f>SUM(J43:J45)</f>
        <v>2133231</v>
      </c>
      <c r="K46" s="103">
        <f>SUM(K43:K45)</f>
        <v>1326256.97</v>
      </c>
    </row>
    <row r="47" spans="1:8" ht="18" customHeight="1">
      <c r="A47" s="42"/>
      <c r="B47" s="43"/>
      <c r="C47" s="34"/>
      <c r="D47" s="35"/>
      <c r="E47" s="39"/>
      <c r="F47" s="39"/>
      <c r="G47" s="39"/>
      <c r="H47" s="39"/>
    </row>
    <row r="48" spans="1:8" ht="18" customHeight="1">
      <c r="A48" s="42"/>
      <c r="B48" s="43"/>
      <c r="C48" s="34"/>
      <c r="D48" s="35"/>
      <c r="E48" s="39"/>
      <c r="F48" s="39"/>
      <c r="G48" s="39"/>
      <c r="H48" s="39"/>
    </row>
    <row r="49" spans="1:8" ht="18" customHeight="1">
      <c r="A49" s="42"/>
      <c r="B49" s="43"/>
      <c r="C49" s="34"/>
      <c r="D49" s="35"/>
      <c r="E49" s="39"/>
      <c r="F49" s="39"/>
      <c r="G49" s="39"/>
      <c r="H49" s="39"/>
    </row>
    <row r="50" spans="1:8" ht="18" customHeight="1">
      <c r="A50" s="42"/>
      <c r="B50" s="43"/>
      <c r="C50" s="34"/>
      <c r="D50" s="35"/>
      <c r="E50" s="39"/>
      <c r="F50" s="39"/>
      <c r="G50" s="39"/>
      <c r="H50" s="39"/>
    </row>
    <row r="51" spans="1:9" ht="18" customHeight="1">
      <c r="A51" s="42"/>
      <c r="B51" s="43"/>
      <c r="C51" s="34"/>
      <c r="D51" s="35"/>
      <c r="E51" s="39"/>
      <c r="F51" s="39"/>
      <c r="G51" s="39"/>
      <c r="H51" s="39"/>
      <c r="I51" s="68" t="s">
        <v>129</v>
      </c>
    </row>
    <row r="52" spans="1:10" ht="18" customHeight="1">
      <c r="A52" s="42"/>
      <c r="B52" s="43"/>
      <c r="C52" s="34"/>
      <c r="D52" s="35"/>
      <c r="E52" s="39"/>
      <c r="F52" s="39"/>
      <c r="G52" s="39"/>
      <c r="H52" s="39"/>
      <c r="I52" s="68">
        <v>9736000</v>
      </c>
      <c r="J52" s="38">
        <v>4984088.28</v>
      </c>
    </row>
    <row r="53" spans="1:8" ht="18" customHeight="1">
      <c r="A53" s="42"/>
      <c r="B53" s="43"/>
      <c r="C53" s="34"/>
      <c r="D53" s="35"/>
      <c r="E53" s="39"/>
      <c r="F53" s="39"/>
      <c r="G53" s="39"/>
      <c r="H53" s="39"/>
    </row>
    <row r="54" spans="1:8" ht="18" customHeight="1">
      <c r="A54" s="42"/>
      <c r="B54" s="43"/>
      <c r="C54" s="34"/>
      <c r="D54" s="35"/>
      <c r="E54" s="39"/>
      <c r="F54" s="39"/>
      <c r="G54" s="39"/>
      <c r="H54" s="39"/>
    </row>
    <row r="55" spans="1:8" ht="18" customHeight="1">
      <c r="A55" s="42"/>
      <c r="B55" s="43"/>
      <c r="C55" s="34"/>
      <c r="D55" s="35"/>
      <c r="E55" s="39"/>
      <c r="F55" s="39"/>
      <c r="G55" s="39"/>
      <c r="H55" s="39"/>
    </row>
    <row r="56" spans="1:8" ht="18" customHeight="1">
      <c r="A56" s="42"/>
      <c r="B56" s="43"/>
      <c r="C56" s="34"/>
      <c r="D56" s="35"/>
      <c r="E56" s="39"/>
      <c r="F56" s="39"/>
      <c r="G56" s="39"/>
      <c r="H56" s="39"/>
    </row>
    <row r="57" spans="1:9" ht="18" customHeight="1">
      <c r="A57" s="42"/>
      <c r="B57" s="43"/>
      <c r="C57" s="34"/>
      <c r="D57" s="35"/>
      <c r="E57" s="39"/>
      <c r="F57" s="39"/>
      <c r="G57" s="39"/>
      <c r="H57" s="39"/>
      <c r="I57" s="68">
        <f>15000+2619+368+36000+6206.7+882.5+2200+24000+4167+585+12302.4+21000+3649+514+15000+2608+369+3000+3169.6+2101.95+164712+126060</f>
        <v>446514.15</v>
      </c>
    </row>
    <row r="58" spans="1:8" ht="18" customHeight="1">
      <c r="A58" s="42"/>
      <c r="B58" s="43"/>
      <c r="C58" s="34"/>
      <c r="D58" s="35"/>
      <c r="E58" s="39"/>
      <c r="F58" s="39"/>
      <c r="G58" s="39"/>
      <c r="H58" s="39"/>
    </row>
    <row r="59" spans="1:8" ht="18" customHeight="1">
      <c r="A59" s="42"/>
      <c r="B59" s="43"/>
      <c r="C59" s="34"/>
      <c r="D59" s="35"/>
      <c r="E59" s="39"/>
      <c r="F59" s="39"/>
      <c r="G59" s="39"/>
      <c r="H59" s="39"/>
    </row>
    <row r="60" spans="1:8" ht="18" customHeight="1">
      <c r="A60" s="42"/>
      <c r="B60" s="43"/>
      <c r="C60" s="34"/>
      <c r="D60" s="35"/>
      <c r="E60" s="39"/>
      <c r="F60" s="39"/>
      <c r="G60" s="39"/>
      <c r="H60" s="39"/>
    </row>
    <row r="61" spans="1:8" ht="18" customHeight="1">
      <c r="A61" s="42"/>
      <c r="B61" s="43"/>
      <c r="C61" s="34"/>
      <c r="D61" s="35"/>
      <c r="E61" s="39"/>
      <c r="F61" s="39"/>
      <c r="G61" s="39"/>
      <c r="H61" s="39"/>
    </row>
    <row r="62" spans="4:12" s="26" customFormat="1" ht="18" customHeight="1">
      <c r="D62" s="35"/>
      <c r="E62" s="39"/>
      <c r="F62" s="39"/>
      <c r="G62" s="39"/>
      <c r="H62" s="39"/>
      <c r="I62" s="69"/>
      <c r="J62" s="24"/>
      <c r="K62" s="56"/>
      <c r="L62" s="49"/>
    </row>
    <row r="63" spans="4:12" s="26" customFormat="1" ht="15">
      <c r="D63" s="35"/>
      <c r="E63" s="39"/>
      <c r="F63" s="39"/>
      <c r="G63" s="39"/>
      <c r="H63" s="39"/>
      <c r="I63" s="69"/>
      <c r="J63" s="24"/>
      <c r="K63" s="56"/>
      <c r="L63" s="49"/>
    </row>
    <row r="64" spans="4:12" s="26" customFormat="1" ht="15">
      <c r="D64" s="35"/>
      <c r="E64" s="39"/>
      <c r="F64" s="39"/>
      <c r="G64" s="39"/>
      <c r="H64" s="39"/>
      <c r="I64" s="69"/>
      <c r="J64" s="24"/>
      <c r="K64" s="56"/>
      <c r="L64" s="49"/>
    </row>
    <row r="65" spans="4:12" s="26" customFormat="1" ht="12" customHeight="1">
      <c r="D65" s="35"/>
      <c r="E65" s="39"/>
      <c r="F65" s="39"/>
      <c r="G65" s="39"/>
      <c r="H65" s="39"/>
      <c r="I65" s="69"/>
      <c r="J65" s="24"/>
      <c r="K65" s="56"/>
      <c r="L65" s="49"/>
    </row>
    <row r="66" ht="14.25">
      <c r="D66" s="40"/>
    </row>
    <row r="67" ht="14.25">
      <c r="D67" s="40"/>
    </row>
    <row r="86" spans="3:12" s="26" customFormat="1" ht="15">
      <c r="C86" s="24"/>
      <c r="D86" s="44"/>
      <c r="I86" s="69"/>
      <c r="J86" s="24"/>
      <c r="K86" s="56"/>
      <c r="L86" s="49"/>
    </row>
    <row r="97" spans="3:12" s="26" customFormat="1" ht="15">
      <c r="C97" s="24"/>
      <c r="D97" s="44"/>
      <c r="I97" s="69"/>
      <c r="J97" s="24"/>
      <c r="K97" s="56"/>
      <c r="L97" s="49"/>
    </row>
    <row r="101" spans="3:12" s="26" customFormat="1" ht="15">
      <c r="C101" s="24"/>
      <c r="D101" s="44"/>
      <c r="I101" s="69"/>
      <c r="J101" s="24"/>
      <c r="K101" s="56"/>
      <c r="L101" s="49"/>
    </row>
    <row r="103" spans="3:12" s="26" customFormat="1" ht="15">
      <c r="C103" s="24"/>
      <c r="D103" s="44"/>
      <c r="I103" s="69"/>
      <c r="J103" s="24"/>
      <c r="K103" s="56"/>
      <c r="L103" s="49"/>
    </row>
  </sheetData>
  <mergeCells count="5">
    <mergeCell ref="A42:B42"/>
    <mergeCell ref="A4:E4"/>
    <mergeCell ref="A41:B41"/>
    <mergeCell ref="A1:E1"/>
    <mergeCell ref="D2:E2"/>
  </mergeCells>
  <printOptions/>
  <pageMargins left="0.8661417322834646" right="0.4330708661417323" top="0.31496062992125984" bottom="0.5905511811023623" header="0.2755905511811024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2008-03-19T13:45:04Z</cp:lastPrinted>
  <dcterms:created xsi:type="dcterms:W3CDTF">2003-12-04T11:30:36Z</dcterms:created>
  <dcterms:modified xsi:type="dcterms:W3CDTF">2008-05-26T09:08:24Z</dcterms:modified>
  <cp:category/>
  <cp:version/>
  <cp:contentType/>
  <cp:contentStatus/>
</cp:coreProperties>
</file>