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tabRatio="938" firstSheet="2" activeTab="2"/>
  </bookViews>
  <sheets>
    <sheet name="Arkusz1" sheetId="1" r:id="rId1"/>
    <sheet name="wykonanie za III kwartał" sheetId="2" r:id="rId2"/>
    <sheet name="ostateczne zmiany w projekcie" sheetId="3" r:id="rId3"/>
  </sheets>
  <definedNames>
    <definedName name="_xlnm.Print_Titles" localSheetId="2">'ostateczne zmiany w projekcie'!$9:$11</definedName>
  </definedNames>
  <calcPr fullCalcOnLoad="1"/>
</workbook>
</file>

<file path=xl/sharedStrings.xml><?xml version="1.0" encoding="utf-8"?>
<sst xmlns="http://schemas.openxmlformats.org/spreadsheetml/2006/main" count="1648" uniqueCount="600">
  <si>
    <t>Modernizacja boiska sportowego Polonia</t>
  </si>
  <si>
    <t>Ośrodki sportu</t>
  </si>
  <si>
    <t>Modernizacja stadionu Concordia</t>
  </si>
  <si>
    <t>Modernizacja ulicy Sienkiewicza na odcinku od                              ul. Słowackiego do ul. Piłsudskiego</t>
  </si>
  <si>
    <t>Placówki opiekuńczo wychowawcze</t>
  </si>
  <si>
    <t>Działalność usługowa - PINB</t>
  </si>
  <si>
    <t>Program ,,termomodernizacja budynków mieszkalnych''</t>
  </si>
  <si>
    <t>Urząd Miasta</t>
  </si>
  <si>
    <t>Adaptacja pomieszczeń na potrzeby siłowni</t>
  </si>
  <si>
    <t>Wykonanie ścianki treningowej</t>
  </si>
  <si>
    <t>Ochrona zbiornika Bugaj wraz z regulacją dolin rzek</t>
  </si>
  <si>
    <t>Przebudowa ulicy Rakowskiej od ulicy Wolborskiej do łącznicy na węźle Rakowskim</t>
  </si>
  <si>
    <t>Przedszkole Nr 20 - termomodernizacja w ramach programu "termomodernizacja budynków"</t>
  </si>
  <si>
    <t>Zakup i montaż siedzisk na kortach</t>
  </si>
  <si>
    <t>Dokończenie budowy boiska trawiastego do piłki nożnej przy SP Nr 8</t>
  </si>
  <si>
    <t>710-71014</t>
  </si>
  <si>
    <t>Dzialalność usługowa - prace geodezyzyjne          i kartograficzne</t>
  </si>
  <si>
    <t>Infrastruktura Regionalnego Systemu Informatyzacji Przestrzennej Województwa Łódzkiego (GIS)</t>
  </si>
  <si>
    <t>Prace geodezyjne i kartograficzne</t>
  </si>
  <si>
    <t xml:space="preserve">Pozyskiwanie gruntów i nieruchomości do zasobów gminy       </t>
  </si>
  <si>
    <t>Zakup sprzętu komputerowego i oprogramowania dla UM</t>
  </si>
  <si>
    <t>Zakup sprzętu komputerowego dla MOPR</t>
  </si>
  <si>
    <t>Zakup zestawów komputerowych z oprogramowaniem dla MZDiK</t>
  </si>
  <si>
    <t>Zakup komputera dla PINB</t>
  </si>
  <si>
    <t>Zakup sprzętu transportowego, pożarniczego oraz kwatermistrzowskiego dla KM PSP</t>
  </si>
  <si>
    <t>Modernizacja klatki schodowej i świetlicy, adaptacja sali do zajęć teraputycznych w PO</t>
  </si>
  <si>
    <t>Zakup łóżek dla DPS</t>
  </si>
  <si>
    <t>Zakup sprzętu komputerowego dla ZONA</t>
  </si>
  <si>
    <t xml:space="preserve">Modernizacja ul. Wojska Polskiego                                                         od ul. Kostromskiej do granic miasta </t>
  </si>
  <si>
    <t>§  6050</t>
  </si>
  <si>
    <t>Budowa ulic wraz z kanalizacją deszczową na osiedlu Jeziorna I</t>
  </si>
  <si>
    <t>Wykonanie obudów pojemników na odpady komunalne</t>
  </si>
  <si>
    <t>Partycypacja w kosztach budowy lokali komunalnych</t>
  </si>
  <si>
    <t>Budowa ciepłociągu do ul. Broniewskiego</t>
  </si>
  <si>
    <t>Budowa kanalizacji sanitarnej w ul. Mazowieckiej                                                                     i Kujawskiej w ramach porozumienia gmin</t>
  </si>
  <si>
    <t>Utworzenie Ośrodka Sztuki Współczesnej w Piotrkowie Tryb.</t>
  </si>
  <si>
    <t>Doprowadzenie ciepłej wody do kuchni w SP 16</t>
  </si>
  <si>
    <t>Wymiana okna w SP 11</t>
  </si>
  <si>
    <t>Budowa kanalizacji sanitarnej w ul. Budki</t>
  </si>
  <si>
    <t xml:space="preserve">Przejęcie nieruchomości przy ul. Batorego </t>
  </si>
  <si>
    <t>Budowa mieszkań komunalnych wraz z adaptacją budynków na cele mieszkalne</t>
  </si>
  <si>
    <t>Usuwanie barier architektonicznych w UM i modernizacja punktu informacyjnego w BOM</t>
  </si>
  <si>
    <t>851-85154</t>
  </si>
  <si>
    <t>Doposażenie placów gier i zabaw na terenie miasta</t>
  </si>
  <si>
    <t>Przeciwdzialanie alkoholizmowi</t>
  </si>
  <si>
    <t>Oświetlenia miasta - budowa nowych instalacji ulicznych</t>
  </si>
  <si>
    <t>Budowa lodowiska</t>
  </si>
  <si>
    <t>Pozostała dzialalność w kulturze fizycznej</t>
  </si>
  <si>
    <t xml:space="preserve">Budowa Sali Gimnastycznej przy ZSP Nr 4 </t>
  </si>
  <si>
    <t>Modernizacja węzła żywieniowego i szatni w Szkole Podstawowej Nr 11</t>
  </si>
  <si>
    <t>Modernizacja Bursy ZSP Nr 3 przy Broniewskiego</t>
  </si>
  <si>
    <t>Uporządkowanie infrastruktury wodno-kanalizacyjnej na terenie byłego Sigmatexu</t>
  </si>
  <si>
    <t>Modernizacja nawierzchni boiska Hali Relax</t>
  </si>
  <si>
    <t>Usuwanie barier architektonicznych w szkołach ponadgimnazjalnych</t>
  </si>
  <si>
    <t>u</t>
  </si>
  <si>
    <t xml:space="preserve">Pozostała działalność w gospodarce komunalnej </t>
  </si>
  <si>
    <t xml:space="preserve"> PLAN  NAKŁADÓW   NA  INWESTYCJE  na  dzień  19.09.2007 r.</t>
  </si>
  <si>
    <t xml:space="preserve">Budowa ulic w osiedlu Pawłowska wraz z kanalizacją deszczową i modernizacją ul. Pawłowskiej </t>
  </si>
  <si>
    <t>Wykonanie nawierzchni parkingu przy ul. Kościelnej</t>
  </si>
  <si>
    <t xml:space="preserve">Rozbudowa systemu monitoringu wizyjnego w mieście </t>
  </si>
  <si>
    <t>Wodociąg w ul. Budki</t>
  </si>
  <si>
    <t>Modernizacja budynku przy ul. Farnej 8</t>
  </si>
  <si>
    <t>Przebudowa ul. Michałowskiej, ul. Rolniczej,                                                                              ul. Spacerowej, ul. Jerozolimskiej</t>
  </si>
  <si>
    <t>Modernizacja  węzła żywieniowego i szatni  w Szkole Podstawowej Nr 11</t>
  </si>
  <si>
    <t>Wykonanie oświetlenia ulicznego i zasilania energetycznego Starego Miasta</t>
  </si>
  <si>
    <t xml:space="preserve">Przebudowa  nawierzchni Al. Sikorskiego                                                                                  od ul. Zawodzie do ul. Armii Krajowej </t>
  </si>
  <si>
    <t>Modernizacja i rozbudowa oczyszczalni ścieków                                        w Piotrkowie Trybunalskim</t>
  </si>
  <si>
    <t>Zakup zestawu komputerowego</t>
  </si>
  <si>
    <t>Zakup sprzętu kwaterunkowego, gospodarczego i uzbrojenia, techniki specjalnej, informatycznego, elektronicznego i łączności, szkoleniowego, transportowego oraz medycznego</t>
  </si>
  <si>
    <t>Modernizacja dachu nad nieckami i zjeżdżalniami                                                                    na krytej pływalni</t>
  </si>
  <si>
    <t>Budowa ul. Polnej na odcinku od ul. Armii Krajowej                                          do ul. Kostromskiej</t>
  </si>
  <si>
    <t>Budowa pomieszczeń tymczasowych przy                                                                                                   ul. Przemysłowej 35 a</t>
  </si>
  <si>
    <t>Budowa kanalizacji sanitarnej i wodociągu                                             w ul. Polnej na odc. ul. Kostromskiej                                                do ul. Źródlanej</t>
  </si>
  <si>
    <t>Oświetlenie uliczne ul. Słowackiego na odcinku od                                                                Pl. Kościuszki do torów PKP - partcypacje w inwestycji Zakladu Energetycznego</t>
  </si>
  <si>
    <t>Budowa wodociągu i kananlizacji sanitarnej                                                           w ul.Energetyków i Jodłowej</t>
  </si>
  <si>
    <t>Wykonanie chodnika i ścieżki rowerowej wzdłuż                                            ul. Słowackiego od trasy N-S do ul. Dworskiej</t>
  </si>
  <si>
    <t>Przebudowa ul. Wyzwolenia od ul. Wolborskiej                                                     do ul. Sulejowskiej - dokumentacja</t>
  </si>
  <si>
    <t xml:space="preserve">Poprawa dojazdu do Łódzkiej Specjalnej Stefy Ekonomicznej                                                                                                                            A. Modernizacja ul. Niskiej                                                                B. Budowa ronda Al. Armii Krajowej                                                                                - ul. Dmowskiego                                                                             C.Modernizacja ul. Żelaznej                                                         D.Modernizacja ulicy Roosevelta                                                                   </t>
  </si>
  <si>
    <t>Rozbudowa miejskiej sieci ciepłowniczej przy ul. Armii Krajowej w ramach programu "Realizacja założeń miejscowych planów zagospodarowania przestrzennego                                                                           w zakresie układów komunikacyjnych                                          i infrastruktury"</t>
  </si>
  <si>
    <t>Wymiana okna podawczego i drzwi w stołówce szkolnej                             w SP 5</t>
  </si>
  <si>
    <t xml:space="preserve">Rewitalizacja Starego Miasta w Piotrkowie Tryb.                                        - etap I </t>
  </si>
  <si>
    <t>Budowa kanalizacji sanitarnej i wodociagu w ul. Pawłowskiej - bocznej w ramach programu "Realizacja założeń miejscowych planów zagospodarowania przestrzenneg w zakresie układów komunikacyjnych infrastruktury"</t>
  </si>
  <si>
    <t>Budowa ul. Powstańców Warszawskich, ul. Rodziny Rajkowskich, ulic przyległych wraz z kanalizacją deszczową</t>
  </si>
  <si>
    <t>Budowa kanalizacja sanitarnej w ul. Mazowieckiej                                                                     i Kujawskiej w ramach porozumienia gmin</t>
  </si>
  <si>
    <t>Gospodarka komunalna i ochrona środowiska  gospodarka ściekowa i ochrona wód</t>
  </si>
  <si>
    <t>Gospodarka komunalna i ochrona środowiska   schroniska dla zwierząt</t>
  </si>
  <si>
    <t>Gospodarka komunalna i ochrona środowiska   oświetlenie ulic</t>
  </si>
  <si>
    <t>Gospodarka komunalna i ochrona środowiska  pozostała działalność</t>
  </si>
  <si>
    <t>Kanalizacja sanitarna i deszczowa                                                             w ul. Wolborskiej i ul. Wierzejskiej</t>
  </si>
  <si>
    <t>Modernizacja ul. Sulejowskiej od ronda E. Gierka                              do ul. Projektowanej w Piotrkowie Trybunalskim</t>
  </si>
  <si>
    <t>Przebudowa ul. Armii Krajowej od ul. Sikorskiego                                                                 do ul. Wojska Polskiego oraz ul. Słowackiego od Armii Krajowej do ul. Owocowej</t>
  </si>
  <si>
    <t>Kultura i ochrona dziedzictwa narodowego  pozostała działalność</t>
  </si>
  <si>
    <t>Gospodarka mieszkaniowa                                                                                                       pozostała działalność</t>
  </si>
  <si>
    <t>Kultura i ochrona dziedzictwa narodowego                               domy kultury</t>
  </si>
  <si>
    <t>Kultura fizyczna i sport                                     ośrodki sportu</t>
  </si>
  <si>
    <t>Ochrona zdrowia                                                            przeciwdziałanie alkoholizmowi</t>
  </si>
  <si>
    <t xml:space="preserve">Kultura fizyczna i sport                                   pozostała działalnośc </t>
  </si>
  <si>
    <t>Kultura fizyczna i sport                                                       pozostałe instytucje kultury</t>
  </si>
  <si>
    <t>Kultura i ochrona dziedzictwa narodowego  muzeum</t>
  </si>
  <si>
    <t>Pozostałe zadania w zakresie polityki społecznej                                                       Zespół ds. Orzekania o Niepełnosprawności</t>
  </si>
  <si>
    <t>Oświata i wychowanie                                                                 szkoły zawodowe</t>
  </si>
  <si>
    <t>Razem</t>
  </si>
  <si>
    <t>17.</t>
  </si>
  <si>
    <t>§  6060</t>
  </si>
  <si>
    <t>Zakupy inwestycyjne dla Przedszkola Nr 19</t>
  </si>
  <si>
    <t>Zakupy inwestycyjne dla Przedszkola Nr 7</t>
  </si>
  <si>
    <t>Zakupy inwestycyjne dla Przedszkola Nr 12</t>
  </si>
  <si>
    <t xml:space="preserve">§  6050 </t>
  </si>
  <si>
    <t>Budowa kanalizacji deszczowej w rejonie skrzyżowania ul. Słowackiego i N-S</t>
  </si>
  <si>
    <t>§ 6229</t>
  </si>
  <si>
    <t>854-85415</t>
  </si>
  <si>
    <t>§ 6068</t>
  </si>
  <si>
    <t>§  6069</t>
  </si>
  <si>
    <t>Budowa kanalizacji sanitarnej i wodociąg                          w ul. Krótkiej</t>
  </si>
  <si>
    <t>Wykonanie kanalizacji deszczowe w rejonie                            ul. Topolowej i Wysokiej</t>
  </si>
  <si>
    <t>Bursa Szkolna</t>
  </si>
  <si>
    <t>Pomoc materialna dla uczniów</t>
  </si>
  <si>
    <t>Edukacyjna opieka wychowoawcza                      - Bursa szkolna</t>
  </si>
  <si>
    <t>Edukacyjna opieka wychowawcza                                                                                     - pomoc dla uczniów</t>
  </si>
  <si>
    <t>Zakupy inwestycyjne niezbędne do realizowania programu finansowego wsparcia młodzieży z terenów wiejskich</t>
  </si>
  <si>
    <t xml:space="preserve">Budowa ul. Bawełnianej na odc. od ul. Różanej do ul. Dolnej                                                                                                                                                   </t>
  </si>
  <si>
    <t>2004-2008</t>
  </si>
  <si>
    <t>Termomodernizacja budynków w SP Nr 16 w ramach programu "termomodernizacja budynków"</t>
  </si>
  <si>
    <t>2007-2011</t>
  </si>
  <si>
    <t>Budowa boisk z nawierzchnią ze sztucznej trawy</t>
  </si>
  <si>
    <t>Modernizacja dachu nad budynkiem MOK</t>
  </si>
  <si>
    <t>Modernizacja ul. Karolinowskiej/u. Rolniczej na odcinku od ul. Łódzkiej do Specjalnej Strefy Ekonomicznej</t>
  </si>
  <si>
    <t>Plan na 2007 r.</t>
  </si>
  <si>
    <t>Montaż instalacji odgromowej w Szkole Podstawowej Nr 13</t>
  </si>
  <si>
    <t>853-85305</t>
  </si>
  <si>
    <t>Pozostałe zadania w zakresie polityki społecznej - żłobek</t>
  </si>
  <si>
    <t>Modernizacja holu w budynku Miejskiego Żłobka Dziennego</t>
  </si>
  <si>
    <t>Żłobek</t>
  </si>
  <si>
    <t>18.</t>
  </si>
  <si>
    <t>Wykonanie przyłączna i wewnętrznej instalacji gazu do budynku mieszkalnego ul. Belzackiej 172              i 174</t>
  </si>
  <si>
    <t>801-80120</t>
  </si>
  <si>
    <t>Oświata i wychowanie                                                                  licea</t>
  </si>
  <si>
    <t>Budowa ogrodzenia terenu szkoły - od strony                                 wschodniej IV LO</t>
  </si>
  <si>
    <t>Licea</t>
  </si>
  <si>
    <t>Budowa ogrodzenia przy Bursie Szkolnej</t>
  </si>
  <si>
    <t>§  6229</t>
  </si>
  <si>
    <t>§  6220</t>
  </si>
  <si>
    <t>WPI</t>
  </si>
  <si>
    <t>Kanalizacja sanitarna                                                             w ul. Wilczej i ul. Partyzantów</t>
  </si>
  <si>
    <t>2003-2011</t>
  </si>
  <si>
    <t>Poprawa dojazdu do Łódzkiej Specjalnej Stefy Ekonomicznej                                                                                                                            A. Modernizacja ul. Niskiej                                                                B. Budowa ronda Al. Armii Krajowej                                     - ul. Dmowskiego</t>
  </si>
  <si>
    <t>Tworzenie zasobu lokali socjalnych</t>
  </si>
  <si>
    <t>Rady Miasta Piotrkowa Tryb.</t>
  </si>
  <si>
    <t>do Uchwały Nr VII/285/07</t>
  </si>
  <si>
    <t xml:space="preserve">Przebudowa/budowa ulic w oparciu o dokumentację </t>
  </si>
  <si>
    <t>Przebudowa ciągów pieszo-jezdnych</t>
  </si>
  <si>
    <t>Przebudowa i koordynacja sygnalizacji świetlnej na terenie miasta</t>
  </si>
  <si>
    <t>Oznakowanie dróg znakami aktywnymi</t>
  </si>
  <si>
    <t>Zakupy inwestycyjne dla Pracowni Planowania Przestrzennego</t>
  </si>
  <si>
    <t>Oświata i wychowanie - gimnazjum</t>
  </si>
  <si>
    <t>Zakup kserokopiarki dla Gimnazjum Nr 5</t>
  </si>
  <si>
    <t>851-85153</t>
  </si>
  <si>
    <t>Ochrona zdrowia                                                            zwalczanie narkomanii</t>
  </si>
  <si>
    <t>Doposażenie w sprzęt biurowo-informatyczny Sekcji ds.Nieletnich i Patologii Komendy Miejskiej Policji</t>
  </si>
  <si>
    <t>Budowa placów gier i zabaw</t>
  </si>
  <si>
    <t xml:space="preserve">Rewitalizacja Starego Miasta w Piotrkowie Tryb. - etap I </t>
  </si>
  <si>
    <t>Zakup lekkiego samochodu dowodczo-sztabowego z funkcją rozpoznawania skażeń chemicznych dla KM PSP</t>
  </si>
  <si>
    <t>Przebudowa ul. Rolniczej,  ul. Spacerowej,                                       ul. Jerozolimskiej w ramach  programu "Poprawa dostępności  komunikacyjnej  do centrów logistycznych oraz obszarów  Piotrkowskiej Podstrefy Łódzkiej Specjalnej Strefy Ekonomicznej - etap II"</t>
  </si>
  <si>
    <t>Poprawa bezpieczeństwa ruchu turystycznego                                         i lokalnego poprzez modernizację ul. Zalesickiej w PT</t>
  </si>
  <si>
    <t xml:space="preserve">Budowa parkingu ogólnodostępnego wraz                                                  z przyłączami kanalizacji deszczowej i robotami elektrycznymi przy ul. Topolowej </t>
  </si>
  <si>
    <t>Usuwanie barier architektonicznych w UM, modernizacja punktu informacyjnego w BOM oraz                                      w innych pomieszczeniach UM przy ul. Szkolnej 28</t>
  </si>
  <si>
    <t>Zakup pojazdu służbowego dla Straży Miejskiej</t>
  </si>
  <si>
    <t>Modernizacja i dostosowanie wiatrołapu do bezpiecznych warunków stanu technicznego obiektu                                        i zdrowia użytkowników w Miejskim Żłobku Dziennym</t>
  </si>
  <si>
    <t>Budowa kanalizacji sanitarnej i wodociągu                                          w ul. Czystej</t>
  </si>
  <si>
    <t>Termomodernizacja budynku Sali gimnastycznej                                        w II LO w Piotrkowie Trybunalskim przy ul. Żeromskiego 11"  w ramach programu termomodernizacja budynków</t>
  </si>
  <si>
    <t>Wykonanie przyłącza kanalizacji sanitarnej do budynku mieszkalnego przy ul. Belzackiej 185                                                      w ramach programu "Realizacja założeń miejscowych planów zagospodarowania przestrzennego w zakresie układów komunikacyjnych infrastruktury"</t>
  </si>
  <si>
    <t>Budowa kanalizacji sanitarnej wraz z przepompownią             i wodociągu w ul. Kleszcz w ramach programu"Realizacja założeń miejscowych planów zagospodarowania przestrzennego w zakresie układów komunikacyjnych infrastruktury"</t>
  </si>
  <si>
    <t>§ 6069</t>
  </si>
  <si>
    <t>Zakup iluminacji świątecznej</t>
  </si>
  <si>
    <t>Wykonaie zasilania ujecia wody "Szczekanica"</t>
  </si>
  <si>
    <t>Budowa kanalizacji sanitarnej w ul. Prostej,                                    ul. Leszczynowej, ul. Piaskowej oraz podłączenie do istniejącego kolektora sanitarnego w ul. Leśników - wykonanie dokumentacji budowlanej</t>
  </si>
  <si>
    <t>Budowa przyłącza kanalizacji deszczowej przy ZSP        Nr 1 przy ul. Roosevelta 1</t>
  </si>
  <si>
    <t>Ochrona zdrowia                                              - szpitale ogólne</t>
  </si>
  <si>
    <t>Dotacja na budowę parkingu dla potrzeb Samodzielnego Szpitala Wojewódzkiego oraz na zakup myjek automatycznych dla potrzeb oddziału gastrologicznego.</t>
  </si>
  <si>
    <t>Zwalczanie narkomanii</t>
  </si>
  <si>
    <t>Bezpieczeństwo publiczne                                                                                                                                                                                              straż miejska</t>
  </si>
  <si>
    <t>Zakpu pojazdu dla Straży Miejskiej</t>
  </si>
  <si>
    <t>19.</t>
  </si>
  <si>
    <t>Przygotowanie terenu pod punkty odbioru odpadów stałych</t>
  </si>
  <si>
    <t>Zakup parkomatów</t>
  </si>
  <si>
    <t xml:space="preserve">Budowa chodnika i ścieżki rowerowj w Al. Kopernika </t>
  </si>
  <si>
    <t>117.950 u</t>
  </si>
  <si>
    <t>16.000 SKB</t>
  </si>
  <si>
    <t>22.000 SKB</t>
  </si>
  <si>
    <t>Zakup samochodu osobowego z nadwoziem kombi wielozadaniowym  dla MZDiK</t>
  </si>
  <si>
    <t>Modernizacja budynku Szkoły Podstawowej Nr 8</t>
  </si>
  <si>
    <t>304 142 u</t>
  </si>
  <si>
    <t>Przyłącze kanalizacji deszczowej i odwodnienie drenażem budynku Przedszkola Nr 20</t>
  </si>
  <si>
    <t>Zakupy inwestycje dla Przedszkola Nr 15</t>
  </si>
  <si>
    <t>Zakupy inwestycyjne dla Przedszkola Nr 16</t>
  </si>
  <si>
    <t>Zakupy inwestycyjne dla Przedszkola Nr 20</t>
  </si>
  <si>
    <t>Zakupy inwestycyjne dla Gimnazjum Nr 1</t>
  </si>
  <si>
    <t>Wodociąg ul. Moryca i w ul. Ujazd</t>
  </si>
  <si>
    <t>21.</t>
  </si>
  <si>
    <t>Budowa kanalizacji sanitarnej i wodociągu             w ul. Czystej</t>
  </si>
  <si>
    <t>Zakupy inwestycyjne dla Świetlicy Środowiskowej "Bartek "</t>
  </si>
  <si>
    <t>Szpitale ogólne</t>
  </si>
  <si>
    <t>921-92110</t>
  </si>
  <si>
    <t>Dotacja dla Miejskiej Biblioteki Publicznej na wydatki inwestycyjne</t>
  </si>
  <si>
    <t>BWA</t>
  </si>
  <si>
    <t>Przebudowa Bursy Szkolnej Nr 1 w Piotrkowie Tryb. ul. Broniewskiego 16</t>
  </si>
  <si>
    <t>010-01095</t>
  </si>
  <si>
    <t>Rolnictwo i łowiectwo -  pozostała dzialalność</t>
  </si>
  <si>
    <t>Zakup sprzętu informatycznego do prowadzenia spraw ochrony gruntów rolnych</t>
  </si>
  <si>
    <t>Rolnictwo i łowiectwo -  pozostała działalność</t>
  </si>
  <si>
    <t>Kultura i ochrona dziedzictwa narodowego  BWA</t>
  </si>
  <si>
    <t>Dotacja dla Biura Wystaw Artystycznych na wydatki inwestycyjne</t>
  </si>
  <si>
    <t>2007-2012</t>
  </si>
  <si>
    <t>z dnia 19 grudnia 2007 R.</t>
  </si>
  <si>
    <t xml:space="preserve">                       PLAN  NAKŁADÓW NA  INWESTYCJE  NA 2008 R.                                    </t>
  </si>
  <si>
    <t>FGZiK</t>
  </si>
  <si>
    <t>Rozbudowa sieci teleinformatycznej i alarmowej             w pracowni Planowania Przestrzennego</t>
  </si>
  <si>
    <t>Zakupy inwestycyjne dla Straży Miejskiej</t>
  </si>
  <si>
    <t>Pokrycie dachu na budynku Przedszkola Nr 20</t>
  </si>
  <si>
    <t>852-85203</t>
  </si>
  <si>
    <t>Pomoc społeczna                                                                                                                                                                                        ośrodek wsparcia</t>
  </si>
  <si>
    <t>Zakup sprzętu komputerowego dla DDPS</t>
  </si>
  <si>
    <t>Ośrodek wsparcia</t>
  </si>
  <si>
    <t>Trakt Wielu Kultur</t>
  </si>
  <si>
    <t>20.</t>
  </si>
  <si>
    <t xml:space="preserve">Pozostala działalność w kulturze i ochronie dziedzictwa narodowego                               </t>
  </si>
  <si>
    <t>Pozostała dzialalność w kulturze i ochronie dziedzictwa narodowego</t>
  </si>
  <si>
    <t>Budowa Miejskiej Bliblioteki Publicznej</t>
  </si>
  <si>
    <t>Wykonanie chodnika i ściezki rowerowej wzdłuż ul. Słowackiego od trasy N-S do ul. Dworskiej</t>
  </si>
  <si>
    <t>E-Urząd w Piotrkowie Trybunalskim,                                  w tym:                                                                                                          zakup kiosków multimedialnych</t>
  </si>
  <si>
    <t>zmiany i uzgodnienia na dzień 12.10. /kredyty i środki własne/</t>
  </si>
  <si>
    <t>Załącznik nr 6</t>
  </si>
  <si>
    <t>2008-2011</t>
  </si>
  <si>
    <t xml:space="preserve">Przejęcie nieruchomości przy ul. Batorego  </t>
  </si>
  <si>
    <t>Budowa nowej Miejskiej Bliblioteki Publicznej                            w Piotrkowie Trybunalskim</t>
  </si>
  <si>
    <t>Opracowanie audytu energetycznego, dokumentacji na termomodernizację CKP i PS Nr 5 w ramach programu termomodernizacja budynków</t>
  </si>
  <si>
    <t>Termomodernizacja dachu na Hali Relax w ramach prgramu termomodernizacji budynków</t>
  </si>
  <si>
    <t>zmiany i uzgodnienia na dzień 14.08. /kredyty i środki własne/</t>
  </si>
  <si>
    <t>FGZGiK</t>
  </si>
  <si>
    <t>Lp.</t>
  </si>
  <si>
    <t>Dział rozdział</t>
  </si>
  <si>
    <t>NAZWA  ZADANIA  INWESTYCYJNEGO</t>
  </si>
  <si>
    <t>Termin realizacji</t>
  </si>
  <si>
    <t>Nakłady na inwestycje                z budżetu</t>
  </si>
  <si>
    <t>w tym:</t>
  </si>
  <si>
    <t>Środki z własnych funduszy celowych</t>
  </si>
  <si>
    <t>Inne środki pozabudż.</t>
  </si>
  <si>
    <t>Środki własne</t>
  </si>
  <si>
    <t>Kredyty</t>
  </si>
  <si>
    <t>Pożyczki</t>
  </si>
  <si>
    <t>Dotacje</t>
  </si>
  <si>
    <t>GFOŚiGW</t>
  </si>
  <si>
    <t>PFOŚiGW</t>
  </si>
  <si>
    <t>INWESTYCJE  OGÓŁEM = A + B</t>
  </si>
  <si>
    <t>A</t>
  </si>
  <si>
    <t>GMINA</t>
  </si>
  <si>
    <t>RAZEM wydatki na zadania inwestycyjne dotyczące gminy</t>
  </si>
  <si>
    <t>Lokalny transport zbiorowy</t>
  </si>
  <si>
    <t>Drogi publiczne gminne</t>
  </si>
  <si>
    <t>Gospodarka gruntami i nieruchomościami</t>
  </si>
  <si>
    <t>Pozostała działalność w gospodarce mieszkaniowej</t>
  </si>
  <si>
    <t>Pozostała działalność w działalności usługowej</t>
  </si>
  <si>
    <t>Urząd miasta</t>
  </si>
  <si>
    <t>Ochotnicze straże pożarne</t>
  </si>
  <si>
    <t>Straż miejska</t>
  </si>
  <si>
    <t>Szkoły podstawowe</t>
  </si>
  <si>
    <t>Gimnazja</t>
  </si>
  <si>
    <t>Domy pomocy społecznej</t>
  </si>
  <si>
    <t>Ośrodki pomocy społecznej</t>
  </si>
  <si>
    <t>Gospodarka ściekowa i ochrona wód</t>
  </si>
  <si>
    <t>Schroniska dla zwierząt</t>
  </si>
  <si>
    <t>Oświetlenie ulic</t>
  </si>
  <si>
    <t>Pozostała działalność w gospodarce komunalnej</t>
  </si>
  <si>
    <t>Pozostałe zadania w zakresie kultury</t>
  </si>
  <si>
    <t>Instytucje kultury fizycznej</t>
  </si>
  <si>
    <t>Pozostała działalność w kulturze fizycznej</t>
  </si>
  <si>
    <t>600-60016</t>
  </si>
  <si>
    <t>Transport i łączność                                                                                                                                                                                                      drogi publiczne gminne</t>
  </si>
  <si>
    <t>1.</t>
  </si>
  <si>
    <t>§ 6052</t>
  </si>
  <si>
    <t>2.</t>
  </si>
  <si>
    <t>Budowa obwodnicy Miasta Piotrkowa Trybunalskiego - etap II</t>
  </si>
  <si>
    <t>3.</t>
  </si>
  <si>
    <t>§ 6050</t>
  </si>
  <si>
    <t>4.</t>
  </si>
  <si>
    <t xml:space="preserve">Modernizacja ul. Garbarskiej z parkingiem i kanalizacją deszczową </t>
  </si>
  <si>
    <t>5.</t>
  </si>
  <si>
    <t>6.</t>
  </si>
  <si>
    <t>7.</t>
  </si>
  <si>
    <t xml:space="preserve">Budowa ulic w osiedlu Pawłowska wraz z kanalizacją deszczową (ul. Jasna, PCK, Promienna, Demczyka, Fabianiego, Puszczyńskiego) </t>
  </si>
  <si>
    <t>8.</t>
  </si>
  <si>
    <t>9.</t>
  </si>
  <si>
    <t xml:space="preserve">Modernizacja ul. Sienkiewicza i Pasaż Rudowskiego </t>
  </si>
  <si>
    <t>10.</t>
  </si>
  <si>
    <t>11.</t>
  </si>
  <si>
    <t>12.</t>
  </si>
  <si>
    <t>Budowa ul. Polnej - I etap</t>
  </si>
  <si>
    <t>13.</t>
  </si>
  <si>
    <t>700-70095</t>
  </si>
  <si>
    <t>Gospodarka mieszkaniowa -                                                                                                      pozostała działalność</t>
  </si>
  <si>
    <t>750-75023</t>
  </si>
  <si>
    <t>Administracja publiczna - Urząd Miasta</t>
  </si>
  <si>
    <t>Modernizacja Sali Nr 1</t>
  </si>
  <si>
    <t>801-80101</t>
  </si>
  <si>
    <t>Oświata i wychowanie - szkoły podstawowe</t>
  </si>
  <si>
    <t>801-80110</t>
  </si>
  <si>
    <t>Oświata i wychowanie - gimnazja</t>
  </si>
  <si>
    <t xml:space="preserve">Modernizacja i termomodernizacja obiektów szkolnych Gimnazjum Nr 4 przy ul. Próchnika 8/12 </t>
  </si>
  <si>
    <t>900-90001</t>
  </si>
  <si>
    <t>Gospodarka komunalna i ochrona środowiska - gospodarka ściekowa i ochrona wód</t>
  </si>
  <si>
    <t xml:space="preserve">Regulacja stosunków wodnych w dolinach rzeki Strawy i rzeki Wierzejki                                                     </t>
  </si>
  <si>
    <t>900-90013</t>
  </si>
  <si>
    <t>Gospodarka komunalna i ochrona środowiska  - schroniska dla zwierząt</t>
  </si>
  <si>
    <t>Urządzenie przytuliska dla bezdomnych zwierząt</t>
  </si>
  <si>
    <t>900-90015</t>
  </si>
  <si>
    <t>Gospodarka komunalna i ochrona środowiska  - oświetlenie ulic</t>
  </si>
  <si>
    <t>Oświetlenie miasta - budowa nowych instalacji ulicznych</t>
  </si>
  <si>
    <t>900-90095</t>
  </si>
  <si>
    <t>Gospodarka komunalna i ochrona środowiska - pozostała działalność</t>
  </si>
  <si>
    <t>§ 6058</t>
  </si>
  <si>
    <t>Magistrala wodociągowa do Os. Jeziorna I i II</t>
  </si>
  <si>
    <t xml:space="preserve">Budowa kanalizacji sanitarnej i deszczowej w ul. Wolborskiej i Wierzejskiej </t>
  </si>
  <si>
    <t xml:space="preserve">Dokumentacja na zadania przyszłościowe </t>
  </si>
  <si>
    <t>Budowa kanalizacji deszczowej w ul. Słowackiego od ul. Kostromskiej do ul. Daniłowksiego</t>
  </si>
  <si>
    <t>921-92105</t>
  </si>
  <si>
    <t>Kultura i ochrona dziedzictwa narodowego - pozostałe zadania w zakresie kultury</t>
  </si>
  <si>
    <t>Teatr im. S. Jaracza w Łodzi bez granic - europejskie sceny regionu łódzkiego</t>
  </si>
  <si>
    <t>926-92695</t>
  </si>
  <si>
    <t>Kultura fizyczna i sport - pozostała działalność</t>
  </si>
  <si>
    <t>§ 6060</t>
  </si>
  <si>
    <t>700-70005</t>
  </si>
  <si>
    <t>Gospodarka mieszkaniowa - gospodarka gruntami i nieruchomościami</t>
  </si>
  <si>
    <t xml:space="preserve">Pozyskiwanie gruntów i nieruchomości do zasobów gminy         </t>
  </si>
  <si>
    <t>§ 6300</t>
  </si>
  <si>
    <t>Dofinansowanie zakupu specjalistycznego sprzętu medycznego dla Samodzielnego Szpitala Wojewódzkiego i Szpitala Rejonowego</t>
  </si>
  <si>
    <t>754-75412</t>
  </si>
  <si>
    <t>Bezpieczeństwo publiczne                                                                                                                                                                                              ochotnicze straże pożarne</t>
  </si>
  <si>
    <t>Zakupy dla OSP</t>
  </si>
  <si>
    <t>754-75495</t>
  </si>
  <si>
    <t>Bezpieczeństwo publiczne - pozostała działalność</t>
  </si>
  <si>
    <t>600-60004</t>
  </si>
  <si>
    <t>Opracowanie dokumentacji technicznej modernizacji Środowiskowego Domu Samopomocy</t>
  </si>
  <si>
    <t>Transport i łączność                                                                                                                                                                                           lokalny transport zbiorowy</t>
  </si>
  <si>
    <t>Zakup wiat przystankowych</t>
  </si>
  <si>
    <t>Zakup zestawu komputerowego wraz z oprogramowaniem</t>
  </si>
  <si>
    <t>926-92604</t>
  </si>
  <si>
    <t>Kultura fizyczna i sport                                                                                                                                                                                        instytucje kultury fizycznej</t>
  </si>
  <si>
    <t>710-71095</t>
  </si>
  <si>
    <t>Działalność usługowa - pozostała działalność</t>
  </si>
  <si>
    <t>Budowa obwodnicy Miasta PT - III etap</t>
  </si>
  <si>
    <t>Budowa wodociągu w ul. Podhalańskiej</t>
  </si>
  <si>
    <t>Budowa boiska wielofunkcyjnego</t>
  </si>
  <si>
    <t>Budowa szatni przy boisku sportowej KS POLONIA</t>
  </si>
  <si>
    <t>801-80195</t>
  </si>
  <si>
    <t>Oświata i wychowanie                                                                  pozostała działalność</t>
  </si>
  <si>
    <t>pozostała działalność w oświacie</t>
  </si>
  <si>
    <t>852-85219</t>
  </si>
  <si>
    <t>Pomoc społeczna                                                                                                                                                                                        ośrodki pomocy społecznej</t>
  </si>
  <si>
    <t>852-85202</t>
  </si>
  <si>
    <t>754-75416</t>
  </si>
  <si>
    <t>Bezpieczeństwo publiczne - straż miejska</t>
  </si>
  <si>
    <t>B</t>
  </si>
  <si>
    <t>POWIAT</t>
  </si>
  <si>
    <t>RAZEM wydatki na zadania inwestycyjne dotyczące powiatu</t>
  </si>
  <si>
    <t>Drogi publiczne w miastach na prawach powiatu</t>
  </si>
  <si>
    <t>Szkoły zawodowe</t>
  </si>
  <si>
    <t>Placówki opiekuńczo - wychowawcze</t>
  </si>
  <si>
    <t>Bursa szkolna</t>
  </si>
  <si>
    <t>600-60015</t>
  </si>
  <si>
    <t>Transport i łączność - drogi publiczne                                                                                                                                                                                         w miastach na prawach  powiatu</t>
  </si>
  <si>
    <t>§ 6059</t>
  </si>
  <si>
    <t xml:space="preserve">Budowa jezdni północnej trasy W - Z </t>
  </si>
  <si>
    <t>INWESTYCJE JEDNOROCZNE</t>
  </si>
  <si>
    <t>oświatowe</t>
  </si>
  <si>
    <t>pomocowe</t>
  </si>
  <si>
    <t>drogowe</t>
  </si>
  <si>
    <t>pozostałe</t>
  </si>
  <si>
    <t>INWESTYCJE WIELOLETNIE</t>
  </si>
  <si>
    <t>INWESTYCJE RAZEM</t>
  </si>
  <si>
    <t xml:space="preserve">Modernizacja ul. Wojska Polskiego od ul. Kostromskiej do granic miasta </t>
  </si>
  <si>
    <t>Rewitalizacja Parku Jana Pawła II</t>
  </si>
  <si>
    <t xml:space="preserve">Modernizacja ul. Wolborskiej </t>
  </si>
  <si>
    <t>801-80130</t>
  </si>
  <si>
    <t>Oświata i wychowanie - szkoły zawodowe</t>
  </si>
  <si>
    <t>Budowa sali gimnastycznej w ZSP Nr 4</t>
  </si>
  <si>
    <t>852-85201</t>
  </si>
  <si>
    <t>Pomoc społeczna                                                                                                                                                                                                            placówki opiekuńczo - wychowawcze</t>
  </si>
  <si>
    <t>854-85410</t>
  </si>
  <si>
    <t>Edukacyjna opieka wychowawcza - bursa szkolna</t>
  </si>
  <si>
    <t>Adaptacja budynku biurowego przy ul. Dmowskiego</t>
  </si>
  <si>
    <t>Pomoc społeczna                                                                                                                                                                                                    domy pomocy społecznej</t>
  </si>
  <si>
    <t>Zakup sprzętu komputerowego i oprogramowania</t>
  </si>
  <si>
    <t>Zakup samochodu osobowego</t>
  </si>
  <si>
    <t>Zakup kserokopiarek dla potrzeb UM</t>
  </si>
  <si>
    <t>Adaptacja obiektów z przeznaczeniem na lokale mieszkalne i pomieszczenia tymczasowe</t>
  </si>
  <si>
    <t>Program ,,termomodernizacja budynków''</t>
  </si>
  <si>
    <t>Zakup sprzętu do rejestracji położenia patroli pieszych i zmechanizowanych</t>
  </si>
  <si>
    <t>Zakup ciągnika i maszyn dla obwodu drogowego</t>
  </si>
  <si>
    <t>Zakup oprogramowania do zarządzania drogami</t>
  </si>
  <si>
    <t>Zakup zestawów komputerowych z oprogramowaniem</t>
  </si>
  <si>
    <t>Zakup sprzętu komputerowego</t>
  </si>
  <si>
    <t>Budowa łącznika</t>
  </si>
  <si>
    <t>Zakup komputerów</t>
  </si>
  <si>
    <t>§ 6220</t>
  </si>
  <si>
    <t>921-92116</t>
  </si>
  <si>
    <t>Kultura i chrona dziedzictwa narodowego - biblioteka</t>
  </si>
  <si>
    <t>921-92118</t>
  </si>
  <si>
    <t>Kultura i chrona dziedzictwa narodowego - muzeum</t>
  </si>
  <si>
    <t>Dokumentacja techniczna wraz z kosztorysem do modernizacji zachodniej fasady budynku Muzeum</t>
  </si>
  <si>
    <t xml:space="preserve">Zakup sprzętu komputerowego </t>
  </si>
  <si>
    <t>Muzeum</t>
  </si>
  <si>
    <t>Biblioteka</t>
  </si>
  <si>
    <t>Modernizacja ul. Folwarcznej wraz z kanalizacją deszczową</t>
  </si>
  <si>
    <t>Budowa parkingu przy  "Panoramie"</t>
  </si>
  <si>
    <t>Przebudowa ul. Słowackiego od Sienkiewicza do torów PKP</t>
  </si>
  <si>
    <t>14.</t>
  </si>
  <si>
    <t>Modernizacja pomieszczeń pod potrzeby BOM</t>
  </si>
  <si>
    <t>Modyfikacja zasilania ujęcia wody "Szczekanica"</t>
  </si>
  <si>
    <t>Monitoring osiedlowych przepompowni ścieków</t>
  </si>
  <si>
    <t>Kanalizacja sanitarna w ul. Budki</t>
  </si>
  <si>
    <t>Kanalizacja sanitarna  w ul. Górniczej</t>
  </si>
  <si>
    <t>Os. Jeziorna II - infrastruktura osiedla</t>
  </si>
  <si>
    <t>Kanalizacja sanitarna w ul. Belzackiej i ul. Zakątnej</t>
  </si>
  <si>
    <t>Budowa wodociągu w ul. Bednarskiej</t>
  </si>
  <si>
    <t>§  6228</t>
  </si>
  <si>
    <t>Modernizacja dachu w SP 11</t>
  </si>
  <si>
    <t>Kanalizacja sanitarna i wodociąg w ul. Kałuży</t>
  </si>
  <si>
    <t>Kanalizacja sanitarna w ul. Wiśniowej</t>
  </si>
  <si>
    <t>Przebudowa ul. Rakowskiej od ul. Wolborskiej do łącznicy na węźle Rakowskim</t>
  </si>
  <si>
    <t>2001-2006</t>
  </si>
  <si>
    <t>2005-2011</t>
  </si>
  <si>
    <t>Budowa obwodnicy Miasta Piotrkowa Trybunalskiego - etap III - przebudowa nawierzchni Al. Sikorskiego od ul. Zawodzie do Al. Armii Krajowej</t>
  </si>
  <si>
    <t>2004-2006</t>
  </si>
  <si>
    <t>2005-2006</t>
  </si>
  <si>
    <t>2004-2007</t>
  </si>
  <si>
    <t>2005-2007</t>
  </si>
  <si>
    <t>2005-2008</t>
  </si>
  <si>
    <t>2004-2010</t>
  </si>
  <si>
    <t>2003-2010</t>
  </si>
  <si>
    <t>2005-2010</t>
  </si>
  <si>
    <t>2003-2007</t>
  </si>
  <si>
    <t>Budowa ronda "Karolinowska"</t>
  </si>
  <si>
    <t>Przygotowanie pomieszczeń w budynku przy Farnej 8 do potrzeb administracyjno - biurowych</t>
  </si>
  <si>
    <t>ul.Topolowa - zagospodarowanie terenu</t>
  </si>
  <si>
    <t>Rewitalizacja Starówki</t>
  </si>
  <si>
    <t>Przebudowa ul. Michałowskiej, ul. Rolniczej, ul. Spacerowej, ul. Jerozolimskiej</t>
  </si>
  <si>
    <t>921-92195</t>
  </si>
  <si>
    <t xml:space="preserve">Modernizacja ul. Karolinowskiej/ul.Rolniczej na odc. od ul.Łódzkiej do SSE w ramach programu "Poprawa dostępności komunikacyjnej do centrów logistycznych oraz  obszarów Piotrkowskiej Podstrefy Łódzkiej  Specjalnej Strefy Ekonomicznej - etap I" </t>
  </si>
  <si>
    <t>Adaptacja pomieszczeń przy ul. Dąbrowskiego 5</t>
  </si>
  <si>
    <t>Kultura i chrona dziedzictwa narodowego - pozostała działalność</t>
  </si>
  <si>
    <t>Pozostała dzialalność w bezpieczeństwie publicznym</t>
  </si>
  <si>
    <t>710-71015</t>
  </si>
  <si>
    <t>Działalność usługowa - nadzór budowlany</t>
  </si>
  <si>
    <t>Zakup kserokopiarki</t>
  </si>
  <si>
    <t>754-75411</t>
  </si>
  <si>
    <t>Bezpieczeństwo publiczne - Komenda Miejska Państwowej Straży Pożarnej</t>
  </si>
  <si>
    <t>Zakup sprzętu pożarniczego oraz kwatremistrzowsko - technicznego</t>
  </si>
  <si>
    <t>Nadzór budowlany</t>
  </si>
  <si>
    <t>Komenda Miejska Państwowej Straży Pożarnej</t>
  </si>
  <si>
    <t>Termomodernizacja budynku szatniowego</t>
  </si>
  <si>
    <t>Budowa boiska na terenie basenu</t>
  </si>
  <si>
    <t>RAZEM</t>
  </si>
  <si>
    <t>Termomodernizacja budynków SP Nr 16 w ramach programu "termomodernizacja budynków"</t>
  </si>
  <si>
    <t>Zakupy inwestycyjne</t>
  </si>
  <si>
    <t>Przebudowa ul. Armii Krajowej od ul. Sikorskiego do ul. Wojska Polskiego oraz ul. Słowackiego od Armii Krajowej do PKP</t>
  </si>
  <si>
    <t>851-85111</t>
  </si>
  <si>
    <t>Szpitale</t>
  </si>
  <si>
    <t>PLAN  NAKŁADÓW  NA  INWESTYCJE  na  2006 rok</t>
  </si>
  <si>
    <t>Budowa mieszkań komunalnych wraz z adaptacją budynków na cele mieszkalne (ul. Iwaszkiewicza, ul. Rembeka)</t>
  </si>
  <si>
    <t>2004-2009</t>
  </si>
  <si>
    <t>Modernizacja ul. Łódzkiej - etap I</t>
  </si>
  <si>
    <t>Zakup sprzętu komputerowego i oprogramowania w ramach programu E - Urząd</t>
  </si>
  <si>
    <t>Termomodernizacja sali gimnastycznej w SP Nr 12 w pramach programu "termomodernizacja budynków"</t>
  </si>
  <si>
    <t>Modernizacja i rozbudowa oczyszczalni ścieków</t>
  </si>
  <si>
    <t>Modernizacja ul. Sulejowskiej na odc. od ronda Gierka do ul. Projektowanej</t>
  </si>
  <si>
    <t>RAZEM nakłady na inwestycje = 6+12+13+14</t>
  </si>
  <si>
    <t>Wartość zadania w tys.</t>
  </si>
  <si>
    <t>Modernizacja budynków UM</t>
  </si>
  <si>
    <t>Wodociąg w ul. Granicznej</t>
  </si>
  <si>
    <t xml:space="preserve">Budowa Skate Parku wraz z zakupem urządzeń </t>
  </si>
  <si>
    <t>Rozbudowa systemu monitoringu wizyjnego w mieście</t>
  </si>
  <si>
    <t>Budowa dodatkowych ekranów akustycznych                                                                                                                                                                                                              na trasie N - S</t>
  </si>
  <si>
    <t>Pozostała działalność w kulturze</t>
  </si>
  <si>
    <t>k</t>
  </si>
  <si>
    <t>MZDiK</t>
  </si>
  <si>
    <t>WRM</t>
  </si>
  <si>
    <t>WIM</t>
  </si>
  <si>
    <t>PS</t>
  </si>
  <si>
    <t>WSS</t>
  </si>
  <si>
    <t>PrPP</t>
  </si>
  <si>
    <t>RZK</t>
  </si>
  <si>
    <t>SM</t>
  </si>
  <si>
    <t>MOPR</t>
  </si>
  <si>
    <t>OSIR</t>
  </si>
  <si>
    <t>PINB</t>
  </si>
  <si>
    <t>DD</t>
  </si>
  <si>
    <t>DPS</t>
  </si>
  <si>
    <t>rezerwa</t>
  </si>
  <si>
    <t>Ochrona zdrowia - szpitale</t>
  </si>
  <si>
    <r>
      <t xml:space="preserve">WRM - </t>
    </r>
    <r>
      <rPr>
        <sz val="9"/>
        <rFont val="Arial"/>
        <family val="2"/>
      </rPr>
      <t>Wydział Rozwoju Miasta</t>
    </r>
  </si>
  <si>
    <r>
      <t xml:space="preserve">WIM - </t>
    </r>
    <r>
      <rPr>
        <sz val="9"/>
        <rFont val="Arial"/>
        <family val="2"/>
      </rPr>
      <t>Wydział Infrastruktury Miasta</t>
    </r>
  </si>
  <si>
    <r>
      <t xml:space="preserve">WSS - </t>
    </r>
    <r>
      <rPr>
        <sz val="9"/>
        <rFont val="Arial"/>
        <family val="2"/>
      </rPr>
      <t>Wydział Spraw Społecznych</t>
    </r>
  </si>
  <si>
    <r>
      <t xml:space="preserve">PS - </t>
    </r>
    <r>
      <rPr>
        <sz val="9"/>
        <rFont val="Arial"/>
        <family val="2"/>
      </rPr>
      <t>Pion Sekretarza</t>
    </r>
  </si>
  <si>
    <t>Wykonanie za III kwartał</t>
  </si>
  <si>
    <r>
      <t xml:space="preserve">RZK - </t>
    </r>
    <r>
      <rPr>
        <sz val="9"/>
        <rFont val="Arial"/>
        <family val="2"/>
      </rPr>
      <t>Referat Zarządzania Kryzysowego</t>
    </r>
  </si>
  <si>
    <r>
      <t xml:space="preserve">MZDiK - </t>
    </r>
    <r>
      <rPr>
        <sz val="9"/>
        <rFont val="Arial"/>
        <family val="2"/>
      </rPr>
      <t>Miejski Zarząd Dróg i Komunikacji</t>
    </r>
  </si>
  <si>
    <r>
      <t xml:space="preserve">OSIR - </t>
    </r>
    <r>
      <rPr>
        <sz val="9"/>
        <rFont val="Arial"/>
        <family val="2"/>
      </rPr>
      <t>Ośrodek Sportu i Rekreacji</t>
    </r>
  </si>
  <si>
    <r>
      <t xml:space="preserve">PrPP - </t>
    </r>
    <r>
      <rPr>
        <sz val="9"/>
        <rFont val="Arial"/>
        <family val="2"/>
      </rPr>
      <t>Pracownia Planowania Przestrzennego</t>
    </r>
  </si>
  <si>
    <r>
      <t xml:space="preserve">SM - </t>
    </r>
    <r>
      <rPr>
        <sz val="9"/>
        <rFont val="Arial"/>
        <family val="2"/>
      </rPr>
      <t>Straż Miejska</t>
    </r>
  </si>
  <si>
    <t>Dotacja na zakup  specjalistycznego sprzętu medycznego dla szpitali</t>
  </si>
  <si>
    <r>
      <t xml:space="preserve">PINB - </t>
    </r>
    <r>
      <rPr>
        <sz val="9"/>
        <rFont val="Arial"/>
        <family val="2"/>
      </rPr>
      <t>Powiatowy Inspektorat Nadzoru Budowlanego</t>
    </r>
  </si>
  <si>
    <r>
      <t xml:space="preserve">KM PSP - </t>
    </r>
    <r>
      <rPr>
        <sz val="9"/>
        <rFont val="Arial"/>
        <family val="2"/>
      </rPr>
      <t>Komenda Miejska Państwowej Straży Pożarnej</t>
    </r>
  </si>
  <si>
    <t>KM PSP</t>
  </si>
  <si>
    <r>
      <t xml:space="preserve">DD - </t>
    </r>
    <r>
      <rPr>
        <sz val="9"/>
        <rFont val="Arial"/>
        <family val="2"/>
      </rPr>
      <t>Dom Dziecka</t>
    </r>
  </si>
  <si>
    <r>
      <t xml:space="preserve">DPS - </t>
    </r>
    <r>
      <rPr>
        <sz val="9"/>
        <rFont val="Arial"/>
        <family val="2"/>
      </rPr>
      <t>Dom Pomocy Społecznej</t>
    </r>
  </si>
  <si>
    <r>
      <t xml:space="preserve">MOPR - </t>
    </r>
    <r>
      <rPr>
        <sz val="9"/>
        <rFont val="Arial"/>
        <family val="2"/>
      </rPr>
      <t>Miejski Ośrodek Pomocy Rodzinie</t>
    </r>
  </si>
  <si>
    <t>Wydział  jednostka realizująca zadanie</t>
  </si>
  <si>
    <t>15.</t>
  </si>
  <si>
    <t>921-92109</t>
  </si>
  <si>
    <t>Domy kultury</t>
  </si>
  <si>
    <t>Budowa ścieżek rowerowych</t>
  </si>
  <si>
    <t>Przebudowa ul. Karłowicza i ulicy Moniuszki</t>
  </si>
  <si>
    <t>Zakup lady do obsługi interesanta</t>
  </si>
  <si>
    <t>Zakup multisejfu XP</t>
  </si>
  <si>
    <t>2006-2011</t>
  </si>
  <si>
    <t>2007-2010</t>
  </si>
  <si>
    <t>Edukacyjna opieka wychowawcza                                 - świetlice szkolne</t>
  </si>
  <si>
    <t>Licea ogólnokształcące</t>
  </si>
  <si>
    <t xml:space="preserve">Rozbudowa sygnalizacji świetlnej na skrzyżowaniu                                                Al. Sikorskiego N-S </t>
  </si>
  <si>
    <t>Przebudowa skrzyżowania ulicy Dworskiej i ulicy Sikorskiego w ramach programu "Poprawa dostępności komunikacyjnej do centrów logistycznych poprzez przebudowę nawierzchni Al. Sikorskiego od ul. Zawodzie do ul. Armii Krajowej"</t>
  </si>
  <si>
    <t>E-Urząd w Piotrkowie Trybunalskim</t>
  </si>
  <si>
    <t>2005-2009</t>
  </si>
  <si>
    <t>Poprawa stanu środowiska naturalnego w otoczeniu zbiornika Bugaj - Infrastruktura osiedla Jeziorna II</t>
  </si>
  <si>
    <t>Racjonalizacja gospodarki wodno-ściekowej na terenach poprzemysłowych byłego Sigmatexu w Piotrkowie Tryb.</t>
  </si>
  <si>
    <t>2003-2008</t>
  </si>
  <si>
    <t>Rozwój bazy edukacyjnej poprzez budowę Sali Sportowej przy ZSP Nr 4 w Piotrkowie Trybunalskim</t>
  </si>
  <si>
    <t>Wykonanie przyłącza wodociągowego i energetycznego oraz zbiornika bezodpływowego ścieków sanitarnych i przepustu na rowie w docelowym ciągu pieszym dla potrzeb kąpieliska Bugaj</t>
  </si>
  <si>
    <t>Zakup odkurzacza dla OSiR</t>
  </si>
  <si>
    <t>2006-2010</t>
  </si>
  <si>
    <t>Zakupy inwestycyjne dla UM</t>
  </si>
  <si>
    <t>kredyt inwestycyjny Beata</t>
  </si>
  <si>
    <t>16.</t>
  </si>
  <si>
    <t>wydatki majątkowe</t>
  </si>
  <si>
    <t>udziały finansowane z kredytu</t>
  </si>
  <si>
    <t>2006-2008</t>
  </si>
  <si>
    <t>udziały TBS, MZK</t>
  </si>
  <si>
    <t>rezerwa finansowana kredytem</t>
  </si>
  <si>
    <t>SKB</t>
  </si>
  <si>
    <t>ul. Pawłowska</t>
  </si>
  <si>
    <t>Wolborska - Wierzejska</t>
  </si>
  <si>
    <t>ul. Kałuży</t>
  </si>
  <si>
    <t>ul. Wisniowa</t>
  </si>
  <si>
    <t>ul. Powstańców warsz</t>
  </si>
  <si>
    <t>rezerwa inwestycyjna</t>
  </si>
  <si>
    <t>umorzenia</t>
  </si>
  <si>
    <t>Budowa boiska przy Gimnazjum Nr 4</t>
  </si>
  <si>
    <t>Budowa witaczek</t>
  </si>
  <si>
    <t>Zakupy inwestycyjne dla OSiR</t>
  </si>
  <si>
    <t>RAZEM nakłady na inwestycje = 5+11+12+13</t>
  </si>
  <si>
    <t>Pozostała działalność w bezpieczeństwie publicznym</t>
  </si>
  <si>
    <t>Przedszkola</t>
  </si>
  <si>
    <t>801-80104</t>
  </si>
  <si>
    <t>Oświata i wychowanie - przedszkola</t>
  </si>
  <si>
    <t>Dokumentacje prac inwestycyjnych</t>
  </si>
  <si>
    <t>Zakup przyczepy ciągnikowej dla potrzeb Obwodu Drogowego</t>
  </si>
  <si>
    <t>Zakupy inwestycyjne dla Hali Relax</t>
  </si>
  <si>
    <t>Zakupy inwestycyjne dla krytej pływalni</t>
  </si>
  <si>
    <t>Zakupy inwestycyjne dla Stadionu Miejskiego</t>
  </si>
  <si>
    <t>Wymiana okien w budynku administracyjnym</t>
  </si>
  <si>
    <t>853-85321</t>
  </si>
  <si>
    <t>ZONA</t>
  </si>
  <si>
    <t>Rewaloryzacja i zabezpeczenie fasad Zamku - dokumentacja -dotacja</t>
  </si>
  <si>
    <t>Modernizacja ul. Folwarcznej</t>
  </si>
  <si>
    <t>Budowa ul. Powstańsców Warszawskich, ul. Rodziny Rajkowskich, ulic przyległych wraz z kanalizacją deszczową</t>
  </si>
  <si>
    <t>Modernizacja ul. Zalesickiej</t>
  </si>
  <si>
    <t>2007-2009</t>
  </si>
  <si>
    <t>Dzialalność usługowa - pozostała działalność</t>
  </si>
  <si>
    <t>Przedszkole Nr 7 - termomodernizacja w ramach programu "termomodernizacja budynków"</t>
  </si>
  <si>
    <t>2007-2008</t>
  </si>
  <si>
    <t>§6050</t>
  </si>
  <si>
    <t>Dokumentacja na zadania przyszłosciowe</t>
  </si>
  <si>
    <t>854-85401</t>
  </si>
  <si>
    <t>Zakup zmywarki dla Zespołu Szkolno-Gimnazjalnego Nr 1</t>
  </si>
  <si>
    <t>Świetlica szkolna</t>
  </si>
  <si>
    <t>Wymiana parkietu w Sali gimnastycznej w Gimnazjum Nr 4</t>
  </si>
  <si>
    <t>Ochrona zdrowia - szpitale ogólne</t>
  </si>
  <si>
    <t>Wymiana okien od ul. Śląskiej w ZSP Nr 6</t>
  </si>
  <si>
    <t>Wymiana stolarki okiennej w świetlicy szkolnej SP 5</t>
  </si>
  <si>
    <t>801-80148</t>
  </si>
  <si>
    <t>Oświata i wychowanie - stołówki szkolne</t>
  </si>
  <si>
    <t>Stołówki szkolne</t>
  </si>
  <si>
    <t xml:space="preserve">Budowa ulic w osiedlu Pawłowska wraz z kanalizacją deszczową i modernizacja ul. Pawłowskiej </t>
  </si>
  <si>
    <t>Zakupy inwestycyjne dla Domu Dziecka</t>
  </si>
  <si>
    <t>Modernizacja boiska szkolnego w Gimnazjum Nr 5</t>
  </si>
  <si>
    <t>Dotacja dla Miejskiej Biblioteki publicznej na wydatki inwestycyjne</t>
  </si>
  <si>
    <t>Punkt zlewny ul. Gipsowa</t>
  </si>
  <si>
    <t>Miejska Biblioteka Publiczna - modernizacja, wykonanie projektu technicznego</t>
  </si>
  <si>
    <t>Modernizacja ul. Łódzkiej</t>
  </si>
  <si>
    <t>Utworzenie Ośrodka Sztuki Współczesnej</t>
  </si>
  <si>
    <t>926-92601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</si>
</sst>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0\-000"/>
  </numFmts>
  <fonts count="1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sz val="8"/>
      <color indexed="5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1" xfId="15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 shrinkToFit="1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right" vertical="center"/>
    </xf>
    <xf numFmtId="3" fontId="0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0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15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3" fontId="1" fillId="4" borderId="12" xfId="0" applyNumberFormat="1" applyFont="1" applyFill="1" applyBorder="1" applyAlignment="1">
      <alignment horizontal="right" vertical="center" wrapText="1"/>
    </xf>
    <xf numFmtId="3" fontId="1" fillId="4" borderId="13" xfId="0" applyNumberFormat="1" applyFont="1" applyFill="1" applyBorder="1" applyAlignment="1">
      <alignment horizontal="right" vertical="center" wrapText="1"/>
    </xf>
    <xf numFmtId="3" fontId="1" fillId="4" borderId="14" xfId="0" applyNumberFormat="1" applyFont="1" applyFill="1" applyBorder="1" applyAlignment="1">
      <alignment horizontal="right" vertical="center" wrapText="1"/>
    </xf>
    <xf numFmtId="3" fontId="1" fillId="4" borderId="7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right" vertical="center" wrapText="1"/>
    </xf>
    <xf numFmtId="3" fontId="0" fillId="4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 vertical="center" wrapText="1"/>
    </xf>
    <xf numFmtId="3" fontId="0" fillId="4" borderId="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5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right" vertical="center"/>
    </xf>
    <xf numFmtId="3" fontId="1" fillId="4" borderId="5" xfId="0" applyNumberFormat="1" applyFont="1" applyFill="1" applyBorder="1" applyAlignment="1">
      <alignment vertical="center"/>
    </xf>
    <xf numFmtId="3" fontId="1" fillId="4" borderId="22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43" fontId="1" fillId="0" borderId="1" xfId="15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74" fontId="1" fillId="0" borderId="7" xfId="15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7" xfId="15" applyNumberFormat="1" applyFont="1" applyFill="1" applyBorder="1" applyAlignment="1">
      <alignment horizontal="left" vertical="center" wrapText="1"/>
    </xf>
    <xf numFmtId="0" fontId="1" fillId="0" borderId="8" xfId="15" applyNumberFormat="1" applyFont="1" applyFill="1" applyBorder="1" applyAlignment="1">
      <alignment horizontal="left" vertical="center" wrapText="1"/>
    </xf>
    <xf numFmtId="0" fontId="1" fillId="0" borderId="5" xfId="15" applyNumberFormat="1" applyFont="1" applyFill="1" applyBorder="1" applyAlignment="1">
      <alignment horizontal="left" vertical="center" wrapText="1"/>
    </xf>
    <xf numFmtId="0" fontId="5" fillId="0" borderId="7" xfId="15" applyNumberFormat="1" applyFont="1" applyFill="1" applyBorder="1" applyAlignment="1">
      <alignment horizontal="center" vertical="center" wrapText="1"/>
    </xf>
    <xf numFmtId="0" fontId="5" fillId="0" borderId="8" xfId="15" applyNumberFormat="1" applyFont="1" applyFill="1" applyBorder="1" applyAlignment="1">
      <alignment horizontal="center" vertical="center" wrapText="1"/>
    </xf>
    <xf numFmtId="0" fontId="5" fillId="0" borderId="5" xfId="15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3" fontId="1" fillId="0" borderId="7" xfId="15" applyFont="1" applyFill="1" applyBorder="1" applyAlignment="1">
      <alignment horizontal="left" vertical="center" wrapText="1"/>
    </xf>
    <xf numFmtId="43" fontId="1" fillId="0" borderId="8" xfId="15" applyFont="1" applyFill="1" applyBorder="1" applyAlignment="1">
      <alignment horizontal="left" vertical="center" wrapText="1"/>
    </xf>
    <xf numFmtId="43" fontId="1" fillId="0" borderId="5" xfId="15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U244"/>
  <sheetViews>
    <sheetView workbookViewId="0" topLeftCell="A49">
      <selection activeCell="D93" sqref="D93"/>
    </sheetView>
  </sheetViews>
  <sheetFormatPr defaultColWidth="9.140625" defaultRowHeight="12.75"/>
  <cols>
    <col min="1" max="1" width="3.421875" style="122" customWidth="1"/>
    <col min="2" max="2" width="9.28125" style="1" customWidth="1"/>
    <col min="3" max="3" width="41.8515625" style="1" customWidth="1"/>
    <col min="4" max="4" width="9.57421875" style="176" customWidth="1"/>
    <col min="5" max="5" width="8.421875" style="123" customWidth="1"/>
    <col min="6" max="6" width="7.140625" style="143" customWidth="1"/>
    <col min="7" max="7" width="11.00390625" style="122" customWidth="1"/>
    <col min="8" max="8" width="8.00390625" style="122" customWidth="1"/>
    <col min="9" max="9" width="9.57421875" style="122" customWidth="1"/>
    <col min="10" max="10" width="8.7109375" style="122" customWidth="1"/>
    <col min="11" max="11" width="9.7109375" style="122" customWidth="1"/>
    <col min="12" max="12" width="10.57421875" style="122" customWidth="1"/>
    <col min="13" max="13" width="8.140625" style="122" customWidth="1"/>
    <col min="14" max="14" width="7.7109375" style="122" customWidth="1"/>
    <col min="15" max="15" width="8.421875" style="123" customWidth="1"/>
    <col min="16" max="16" width="10.140625" style="138" bestFit="1" customWidth="1"/>
    <col min="17" max="17" width="10.7109375" style="138" bestFit="1" customWidth="1"/>
    <col min="18" max="70" width="9.140625" style="2" customWidth="1"/>
    <col min="71" max="16384" width="9.140625" style="122" customWidth="1"/>
  </cols>
  <sheetData>
    <row r="1" spans="15:16" ht="11.25" customHeight="1">
      <c r="O1" s="122"/>
      <c r="P1" s="181"/>
    </row>
    <row r="2" spans="1:16" ht="19.5" customHeight="1">
      <c r="A2" s="447" t="s">
        <v>467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139"/>
    </row>
    <row r="3" spans="15:17" ht="14.25" customHeight="1">
      <c r="O3" s="2"/>
      <c r="Q3" s="139"/>
    </row>
    <row r="4" spans="1:15" ht="18.75" customHeight="1">
      <c r="A4" s="448" t="s">
        <v>239</v>
      </c>
      <c r="B4" s="448" t="s">
        <v>240</v>
      </c>
      <c r="C4" s="449" t="s">
        <v>241</v>
      </c>
      <c r="D4" s="450" t="s">
        <v>516</v>
      </c>
      <c r="E4" s="452" t="s">
        <v>242</v>
      </c>
      <c r="F4" s="454" t="s">
        <v>476</v>
      </c>
      <c r="G4" s="456" t="s">
        <v>243</v>
      </c>
      <c r="H4" s="457" t="s">
        <v>244</v>
      </c>
      <c r="I4" s="457"/>
      <c r="J4" s="457"/>
      <c r="K4" s="458"/>
      <c r="L4" s="459" t="s">
        <v>475</v>
      </c>
      <c r="M4" s="460" t="s">
        <v>245</v>
      </c>
      <c r="N4" s="461"/>
      <c r="O4" s="462" t="s">
        <v>246</v>
      </c>
    </row>
    <row r="5" spans="1:15" ht="28.5" customHeight="1">
      <c r="A5" s="448"/>
      <c r="B5" s="448"/>
      <c r="C5" s="449"/>
      <c r="D5" s="451"/>
      <c r="E5" s="453"/>
      <c r="F5" s="455"/>
      <c r="G5" s="456"/>
      <c r="H5" s="6" t="s">
        <v>247</v>
      </c>
      <c r="I5" s="6" t="s">
        <v>248</v>
      </c>
      <c r="J5" s="6" t="s">
        <v>249</v>
      </c>
      <c r="K5" s="7" t="s">
        <v>250</v>
      </c>
      <c r="L5" s="459"/>
      <c r="M5" s="8" t="s">
        <v>251</v>
      </c>
      <c r="N5" s="5" t="s">
        <v>252</v>
      </c>
      <c r="O5" s="462"/>
    </row>
    <row r="6" spans="1:17" s="128" customFormat="1" ht="12">
      <c r="A6" s="124">
        <v>1</v>
      </c>
      <c r="B6" s="124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  <c r="J6" s="124">
        <v>10</v>
      </c>
      <c r="K6" s="125">
        <v>11</v>
      </c>
      <c r="L6" s="126">
        <v>12</v>
      </c>
      <c r="M6" s="127">
        <v>13</v>
      </c>
      <c r="N6" s="124">
        <v>14</v>
      </c>
      <c r="O6" s="124">
        <v>15</v>
      </c>
      <c r="P6" s="182"/>
      <c r="Q6" s="182"/>
    </row>
    <row r="7" spans="1:16" ht="23.25" customHeight="1">
      <c r="A7" s="6"/>
      <c r="B7" s="3"/>
      <c r="C7" s="4" t="s">
        <v>253</v>
      </c>
      <c r="D7" s="4"/>
      <c r="E7" s="9"/>
      <c r="F7" s="11">
        <f>F8+F119</f>
        <v>277812</v>
      </c>
      <c r="G7" s="10">
        <f>SUM(H7:K7)</f>
        <v>55943359</v>
      </c>
      <c r="H7" s="11">
        <f>H8+H119</f>
        <v>801000</v>
      </c>
      <c r="I7" s="11">
        <f>I8+I119</f>
        <v>42067000</v>
      </c>
      <c r="J7" s="11">
        <f>J8+J119</f>
        <v>1900000</v>
      </c>
      <c r="K7" s="12">
        <f>K8+K119</f>
        <v>11175359</v>
      </c>
      <c r="L7" s="13">
        <f>G7+M7+N7+O7</f>
        <v>69031359</v>
      </c>
      <c r="M7" s="14">
        <f>M8+M119</f>
        <v>280000</v>
      </c>
      <c r="N7" s="10">
        <f>N8+N119</f>
        <v>0</v>
      </c>
      <c r="O7" s="9">
        <f>O8+O119</f>
        <v>12808000</v>
      </c>
      <c r="P7" s="186">
        <f>G7+P11</f>
        <v>56043359</v>
      </c>
    </row>
    <row r="8" spans="1:15" ht="32.25" customHeight="1">
      <c r="A8" s="15" t="s">
        <v>254</v>
      </c>
      <c r="B8" s="16" t="s">
        <v>255</v>
      </c>
      <c r="C8" s="17" t="s">
        <v>256</v>
      </c>
      <c r="D8" s="6"/>
      <c r="E8" s="18"/>
      <c r="F8" s="19">
        <f>SUM(F9:F27)</f>
        <v>237500</v>
      </c>
      <c r="G8" s="10">
        <f>SUM(H8:K8)</f>
        <v>35418500</v>
      </c>
      <c r="H8" s="19">
        <f>SUM(H9:H27)</f>
        <v>601000</v>
      </c>
      <c r="I8" s="19">
        <f>SUM(I9:I27)</f>
        <v>32831500</v>
      </c>
      <c r="J8" s="19">
        <f>SUM(J9:J27)</f>
        <v>1900000</v>
      </c>
      <c r="K8" s="19">
        <f>SUM(K9:K27)</f>
        <v>86000</v>
      </c>
      <c r="L8" s="20">
        <f>G8+M8+N8+O8</f>
        <v>48506500</v>
      </c>
      <c r="M8" s="21">
        <f>SUM(M9:M27)</f>
        <v>280000</v>
      </c>
      <c r="N8" s="21">
        <f>SUM(N9:N27)</f>
        <v>0</v>
      </c>
      <c r="O8" s="18">
        <f>SUM(O9:O27)</f>
        <v>12808000</v>
      </c>
    </row>
    <row r="9" spans="1:15" ht="19.5" customHeight="1">
      <c r="A9" s="129"/>
      <c r="B9" s="22" t="str">
        <f>RIGHT(B28,5)</f>
        <v>60004</v>
      </c>
      <c r="C9" s="23" t="s">
        <v>257</v>
      </c>
      <c r="D9" s="3"/>
      <c r="E9" s="24"/>
      <c r="F9" s="26">
        <f>F28</f>
        <v>60</v>
      </c>
      <c r="G9" s="25">
        <f aca="true" t="shared" si="0" ref="G9:G53">SUM(H9:K9)</f>
        <v>60000</v>
      </c>
      <c r="H9" s="26">
        <f>H28</f>
        <v>0</v>
      </c>
      <c r="I9" s="26">
        <f>I28</f>
        <v>60000</v>
      </c>
      <c r="J9" s="26">
        <f>J28</f>
        <v>0</v>
      </c>
      <c r="K9" s="26">
        <f>K28</f>
        <v>0</v>
      </c>
      <c r="L9" s="27">
        <f>G9+M9+N9+O9</f>
        <v>60000</v>
      </c>
      <c r="M9" s="26">
        <f>M28</f>
        <v>0</v>
      </c>
      <c r="N9" s="26">
        <f>N28</f>
        <v>0</v>
      </c>
      <c r="O9" s="26">
        <f>O28</f>
        <v>0</v>
      </c>
    </row>
    <row r="10" spans="1:15" ht="19.5" customHeight="1">
      <c r="A10" s="129"/>
      <c r="B10" s="22" t="str">
        <f>RIGHT(B30,5)</f>
        <v>60016</v>
      </c>
      <c r="C10" s="23" t="s">
        <v>258</v>
      </c>
      <c r="D10" s="3"/>
      <c r="E10" s="24"/>
      <c r="F10" s="26">
        <f>F30</f>
        <v>81483</v>
      </c>
      <c r="G10" s="25">
        <f t="shared" si="0"/>
        <v>17303000</v>
      </c>
      <c r="H10" s="26">
        <f>H30</f>
        <v>130000</v>
      </c>
      <c r="I10" s="26">
        <f>I30</f>
        <v>16453000</v>
      </c>
      <c r="J10" s="26">
        <f>J30</f>
        <v>720000</v>
      </c>
      <c r="K10" s="26">
        <f>K30</f>
        <v>0</v>
      </c>
      <c r="L10" s="27">
        <f aca="true" t="shared" si="1" ref="L10:L89">G10+M10+N10+O10</f>
        <v>30111000</v>
      </c>
      <c r="M10" s="26">
        <f>M30</f>
        <v>0</v>
      </c>
      <c r="N10" s="26">
        <f>N30</f>
        <v>0</v>
      </c>
      <c r="O10" s="24">
        <f>O30</f>
        <v>12808000</v>
      </c>
    </row>
    <row r="11" spans="1:17" ht="19.5" customHeight="1">
      <c r="A11" s="129"/>
      <c r="B11" s="22" t="str">
        <f>RIGHT(B50,5)</f>
        <v>70005</v>
      </c>
      <c r="C11" s="23" t="s">
        <v>259</v>
      </c>
      <c r="D11" s="3"/>
      <c r="E11" s="24"/>
      <c r="F11" s="26">
        <f>F50</f>
        <v>671</v>
      </c>
      <c r="G11" s="25">
        <f t="shared" si="0"/>
        <v>671000</v>
      </c>
      <c r="H11" s="26">
        <f>H50</f>
        <v>0</v>
      </c>
      <c r="I11" s="26">
        <f>I50</f>
        <v>671000</v>
      </c>
      <c r="J11" s="26">
        <f>J50</f>
        <v>0</v>
      </c>
      <c r="K11" s="28">
        <f>K50</f>
        <v>0</v>
      </c>
      <c r="L11" s="27">
        <f t="shared" si="1"/>
        <v>671000</v>
      </c>
      <c r="M11" s="29">
        <f>M50</f>
        <v>0</v>
      </c>
      <c r="N11" s="25">
        <f>N50</f>
        <v>0</v>
      </c>
      <c r="O11" s="24">
        <f>O50</f>
        <v>0</v>
      </c>
      <c r="P11" s="138">
        <v>100000</v>
      </c>
      <c r="Q11" s="138" t="s">
        <v>497</v>
      </c>
    </row>
    <row r="12" spans="1:15" ht="19.5" customHeight="1">
      <c r="A12" s="129"/>
      <c r="B12" s="22" t="str">
        <f>RIGHT(B52,5)</f>
        <v>70095</v>
      </c>
      <c r="C12" s="23" t="s">
        <v>260</v>
      </c>
      <c r="D12" s="3"/>
      <c r="E12" s="24"/>
      <c r="F12" s="26">
        <f>F52</f>
        <v>23937</v>
      </c>
      <c r="G12" s="25">
        <f t="shared" si="0"/>
        <v>5780000</v>
      </c>
      <c r="H12" s="26">
        <f>H52</f>
        <v>0</v>
      </c>
      <c r="I12" s="26">
        <f>I52</f>
        <v>5780000</v>
      </c>
      <c r="J12" s="26">
        <f>J52</f>
        <v>0</v>
      </c>
      <c r="K12" s="26">
        <f>K52</f>
        <v>0</v>
      </c>
      <c r="L12" s="27">
        <f t="shared" si="1"/>
        <v>5780000</v>
      </c>
      <c r="M12" s="26">
        <f>M52</f>
        <v>0</v>
      </c>
      <c r="N12" s="26">
        <f>N52</f>
        <v>0</v>
      </c>
      <c r="O12" s="26">
        <f>O52</f>
        <v>0</v>
      </c>
    </row>
    <row r="13" spans="1:15" ht="19.5" customHeight="1">
      <c r="A13" s="129"/>
      <c r="B13" s="22" t="str">
        <f>RIGHT(B56,5)</f>
        <v>71095</v>
      </c>
      <c r="C13" s="23" t="s">
        <v>261</v>
      </c>
      <c r="D13" s="3"/>
      <c r="E13" s="24"/>
      <c r="F13" s="26">
        <f>F56</f>
        <v>126</v>
      </c>
      <c r="G13" s="25">
        <f>SUM(H13:K13)</f>
        <v>126000</v>
      </c>
      <c r="H13" s="26">
        <f>H56</f>
        <v>0</v>
      </c>
      <c r="I13" s="26">
        <f>I56</f>
        <v>126000</v>
      </c>
      <c r="J13" s="26">
        <f>J56</f>
        <v>0</v>
      </c>
      <c r="K13" s="26">
        <f>K56</f>
        <v>0</v>
      </c>
      <c r="L13" s="27">
        <f t="shared" si="1"/>
        <v>126000</v>
      </c>
      <c r="M13" s="26">
        <f>M56</f>
        <v>0</v>
      </c>
      <c r="N13" s="26">
        <f>N56</f>
        <v>0</v>
      </c>
      <c r="O13" s="26">
        <f>O56</f>
        <v>0</v>
      </c>
    </row>
    <row r="14" spans="1:15" ht="19.5" customHeight="1">
      <c r="A14" s="129"/>
      <c r="B14" s="22" t="str">
        <f>RIGHT(B59,5)</f>
        <v>75023</v>
      </c>
      <c r="C14" s="23" t="s">
        <v>262</v>
      </c>
      <c r="D14" s="3"/>
      <c r="E14" s="24"/>
      <c r="F14" s="26">
        <f>F59</f>
        <v>2679</v>
      </c>
      <c r="G14" s="25">
        <f t="shared" si="0"/>
        <v>1575000</v>
      </c>
      <c r="H14" s="26">
        <f>H59</f>
        <v>25000</v>
      </c>
      <c r="I14" s="26">
        <f>I59</f>
        <v>1550000</v>
      </c>
      <c r="J14" s="26">
        <f>J59</f>
        <v>0</v>
      </c>
      <c r="K14" s="26">
        <f>K59</f>
        <v>0</v>
      </c>
      <c r="L14" s="27">
        <f t="shared" si="1"/>
        <v>1575000</v>
      </c>
      <c r="M14" s="26">
        <f>M59</f>
        <v>0</v>
      </c>
      <c r="N14" s="26">
        <f>N59</f>
        <v>0</v>
      </c>
      <c r="O14" s="26">
        <f>O59</f>
        <v>0</v>
      </c>
    </row>
    <row r="15" spans="1:15" ht="19.5" customHeight="1">
      <c r="A15" s="129"/>
      <c r="B15" s="22" t="str">
        <f>RIGHT(B68,5)</f>
        <v>75412</v>
      </c>
      <c r="C15" s="23" t="s">
        <v>263</v>
      </c>
      <c r="D15" s="3"/>
      <c r="E15" s="24"/>
      <c r="F15" s="26">
        <f>F68</f>
        <v>8</v>
      </c>
      <c r="G15" s="25">
        <f>SUM(H15:K15)</f>
        <v>8500</v>
      </c>
      <c r="H15" s="26">
        <f>H68</f>
        <v>0</v>
      </c>
      <c r="I15" s="26">
        <f>I68</f>
        <v>8500</v>
      </c>
      <c r="J15" s="26">
        <f>J68</f>
        <v>0</v>
      </c>
      <c r="K15" s="26">
        <f>K68</f>
        <v>0</v>
      </c>
      <c r="L15" s="27">
        <f t="shared" si="1"/>
        <v>8500</v>
      </c>
      <c r="M15" s="26">
        <f>M68</f>
        <v>0</v>
      </c>
      <c r="N15" s="26">
        <f>N68</f>
        <v>0</v>
      </c>
      <c r="O15" s="26">
        <f>O68</f>
        <v>0</v>
      </c>
    </row>
    <row r="16" spans="1:15" ht="19.5" customHeight="1">
      <c r="A16" s="129"/>
      <c r="B16" s="22" t="str">
        <f>RIGHT(B70,5)</f>
        <v>75416</v>
      </c>
      <c r="C16" s="23" t="s">
        <v>264</v>
      </c>
      <c r="D16" s="3"/>
      <c r="E16" s="24"/>
      <c r="F16" s="26">
        <f>F70</f>
        <v>66</v>
      </c>
      <c r="G16" s="25">
        <f>SUM(H16:K16)</f>
        <v>66000</v>
      </c>
      <c r="H16" s="26">
        <f>H70</f>
        <v>0</v>
      </c>
      <c r="I16" s="26">
        <f>I70</f>
        <v>66000</v>
      </c>
      <c r="J16" s="26">
        <f>J70</f>
        <v>0</v>
      </c>
      <c r="K16" s="26">
        <f>K70</f>
        <v>0</v>
      </c>
      <c r="L16" s="27">
        <f t="shared" si="1"/>
        <v>66000</v>
      </c>
      <c r="M16" s="26">
        <f>M70</f>
        <v>0</v>
      </c>
      <c r="N16" s="26">
        <f>N70</f>
        <v>0</v>
      </c>
      <c r="O16" s="26">
        <f>O70</f>
        <v>0</v>
      </c>
    </row>
    <row r="17" spans="1:15" ht="19.5" customHeight="1">
      <c r="A17" s="129"/>
      <c r="B17" s="22" t="str">
        <f>RIGHT(B73,5)</f>
        <v>75495</v>
      </c>
      <c r="C17" s="23" t="s">
        <v>450</v>
      </c>
      <c r="D17" s="3"/>
      <c r="E17" s="24"/>
      <c r="F17" s="26">
        <f>F73</f>
        <v>190</v>
      </c>
      <c r="G17" s="25">
        <f>SUM(H17:K17)</f>
        <v>380000</v>
      </c>
      <c r="H17" s="26">
        <f>H73</f>
        <v>0</v>
      </c>
      <c r="I17" s="26">
        <f>I73</f>
        <v>380000</v>
      </c>
      <c r="J17" s="26">
        <f>J73</f>
        <v>0</v>
      </c>
      <c r="K17" s="26">
        <f>K73</f>
        <v>0</v>
      </c>
      <c r="L17" s="27">
        <f t="shared" si="1"/>
        <v>380000</v>
      </c>
      <c r="M17" s="26">
        <f>M73</f>
        <v>0</v>
      </c>
      <c r="N17" s="26">
        <f>N73</f>
        <v>0</v>
      </c>
      <c r="O17" s="26">
        <f>O73</f>
        <v>0</v>
      </c>
    </row>
    <row r="18" spans="1:15" ht="19.5" customHeight="1">
      <c r="A18" s="129"/>
      <c r="B18" s="22" t="str">
        <f>RIGHT(B76,5)</f>
        <v>80101</v>
      </c>
      <c r="C18" s="23" t="s">
        <v>265</v>
      </c>
      <c r="D18" s="3"/>
      <c r="E18" s="24"/>
      <c r="F18" s="26">
        <f>F76</f>
        <v>1920</v>
      </c>
      <c r="G18" s="25">
        <f t="shared" si="0"/>
        <v>1900000</v>
      </c>
      <c r="H18" s="26">
        <f>H76</f>
        <v>0</v>
      </c>
      <c r="I18" s="26">
        <f>I76</f>
        <v>1800000</v>
      </c>
      <c r="J18" s="26">
        <f>J76</f>
        <v>100000</v>
      </c>
      <c r="K18" s="26">
        <f>K76</f>
        <v>0</v>
      </c>
      <c r="L18" s="27">
        <f t="shared" si="1"/>
        <v>1900000</v>
      </c>
      <c r="M18" s="26">
        <f>M76</f>
        <v>0</v>
      </c>
      <c r="N18" s="26">
        <f>N76</f>
        <v>0</v>
      </c>
      <c r="O18" s="26">
        <f>O76</f>
        <v>0</v>
      </c>
    </row>
    <row r="19" spans="1:15" ht="19.5" customHeight="1">
      <c r="A19" s="129"/>
      <c r="B19" s="22" t="str">
        <f>RIGHT(B79,5)</f>
        <v>80110</v>
      </c>
      <c r="C19" s="23" t="s">
        <v>266</v>
      </c>
      <c r="D19" s="3"/>
      <c r="E19" s="24"/>
      <c r="F19" s="26">
        <f>F79</f>
        <v>2600</v>
      </c>
      <c r="G19" s="25">
        <f t="shared" si="0"/>
        <v>1360000</v>
      </c>
      <c r="H19" s="28">
        <f>H79</f>
        <v>0</v>
      </c>
      <c r="I19" s="28">
        <f>I79</f>
        <v>1360000</v>
      </c>
      <c r="J19" s="28">
        <f>J79</f>
        <v>0</v>
      </c>
      <c r="K19" s="28">
        <f>K79</f>
        <v>0</v>
      </c>
      <c r="L19" s="27">
        <f t="shared" si="1"/>
        <v>1640000</v>
      </c>
      <c r="M19" s="28">
        <f>M79</f>
        <v>280000</v>
      </c>
      <c r="N19" s="26">
        <f>N79</f>
        <v>0</v>
      </c>
      <c r="O19" s="26">
        <f>O79</f>
        <v>0</v>
      </c>
    </row>
    <row r="20" spans="1:15" ht="19.5" customHeight="1">
      <c r="A20" s="129"/>
      <c r="B20" s="22" t="str">
        <f>RIGHT(B81,5)</f>
        <v>85219</v>
      </c>
      <c r="C20" s="23" t="s">
        <v>268</v>
      </c>
      <c r="D20" s="3"/>
      <c r="E20" s="24"/>
      <c r="F20" s="26">
        <f>F81</f>
        <v>25</v>
      </c>
      <c r="G20" s="25">
        <f t="shared" si="0"/>
        <v>25000</v>
      </c>
      <c r="H20" s="28">
        <f>H81</f>
        <v>0</v>
      </c>
      <c r="I20" s="28">
        <f>I81</f>
        <v>25000</v>
      </c>
      <c r="J20" s="28">
        <f>J81</f>
        <v>0</v>
      </c>
      <c r="K20" s="28">
        <f>K81</f>
        <v>0</v>
      </c>
      <c r="L20" s="27">
        <f t="shared" si="1"/>
        <v>25000</v>
      </c>
      <c r="M20" s="28">
        <f>M81</f>
        <v>0</v>
      </c>
      <c r="N20" s="26">
        <f>N81</f>
        <v>0</v>
      </c>
      <c r="O20" s="26">
        <f>O81</f>
        <v>0</v>
      </c>
    </row>
    <row r="21" spans="1:15" ht="19.5" customHeight="1">
      <c r="A21" s="129"/>
      <c r="B21" s="22" t="str">
        <f>RIGHT(B83,5)</f>
        <v>90001</v>
      </c>
      <c r="C21" s="23" t="s">
        <v>269</v>
      </c>
      <c r="D21" s="3"/>
      <c r="E21" s="24"/>
      <c r="F21" s="26">
        <f>F83</f>
        <v>2625</v>
      </c>
      <c r="G21" s="25">
        <f t="shared" si="0"/>
        <v>125000</v>
      </c>
      <c r="H21" s="26">
        <f>H83</f>
        <v>30000</v>
      </c>
      <c r="I21" s="26">
        <f>I83</f>
        <v>95000</v>
      </c>
      <c r="J21" s="26">
        <f>J83</f>
        <v>0</v>
      </c>
      <c r="K21" s="28">
        <f>K83</f>
        <v>0</v>
      </c>
      <c r="L21" s="27">
        <f>G21+M21+N21+O21</f>
        <v>125000</v>
      </c>
      <c r="M21" s="26">
        <f>M83</f>
        <v>0</v>
      </c>
      <c r="N21" s="26">
        <f>N83</f>
        <v>0</v>
      </c>
      <c r="O21" s="26">
        <f>O83</f>
        <v>0</v>
      </c>
    </row>
    <row r="22" spans="1:15" ht="19.5" customHeight="1">
      <c r="A22" s="129"/>
      <c r="B22" s="22" t="str">
        <f>RIGHT(B87,5)</f>
        <v>90013</v>
      </c>
      <c r="C22" s="23" t="s">
        <v>270</v>
      </c>
      <c r="D22" s="3"/>
      <c r="E22" s="24"/>
      <c r="F22" s="26">
        <f>F87</f>
        <v>1500</v>
      </c>
      <c r="G22" s="25">
        <f t="shared" si="0"/>
        <v>100000</v>
      </c>
      <c r="H22" s="26">
        <f>H87</f>
        <v>0</v>
      </c>
      <c r="I22" s="26">
        <f>I87</f>
        <v>100000</v>
      </c>
      <c r="J22" s="26">
        <f>J87</f>
        <v>0</v>
      </c>
      <c r="K22" s="26">
        <f>K87</f>
        <v>0</v>
      </c>
      <c r="L22" s="27">
        <f t="shared" si="1"/>
        <v>100000</v>
      </c>
      <c r="M22" s="26">
        <f>M87</f>
        <v>0</v>
      </c>
      <c r="N22" s="26">
        <f>N87</f>
        <v>0</v>
      </c>
      <c r="O22" s="26">
        <f>O87</f>
        <v>0</v>
      </c>
    </row>
    <row r="23" spans="1:15" ht="19.5" customHeight="1">
      <c r="A23" s="129"/>
      <c r="B23" s="22" t="str">
        <f>RIGHT(B89,5)</f>
        <v>90015</v>
      </c>
      <c r="C23" s="23" t="s">
        <v>271</v>
      </c>
      <c r="D23" s="3"/>
      <c r="E23" s="24"/>
      <c r="F23" s="26">
        <f>F89</f>
        <v>330</v>
      </c>
      <c r="G23" s="25">
        <f t="shared" si="0"/>
        <v>330000</v>
      </c>
      <c r="H23" s="26">
        <f>H89</f>
        <v>0</v>
      </c>
      <c r="I23" s="26">
        <f>I89</f>
        <v>330000</v>
      </c>
      <c r="J23" s="26">
        <f>J89</f>
        <v>0</v>
      </c>
      <c r="K23" s="26">
        <f>K89</f>
        <v>0</v>
      </c>
      <c r="L23" s="27">
        <f t="shared" si="1"/>
        <v>330000</v>
      </c>
      <c r="M23" s="26">
        <f>M89</f>
        <v>0</v>
      </c>
      <c r="N23" s="26">
        <f>N89</f>
        <v>0</v>
      </c>
      <c r="O23" s="26">
        <f>O89</f>
        <v>0</v>
      </c>
    </row>
    <row r="24" spans="1:15" ht="19.5" customHeight="1">
      <c r="A24" s="129"/>
      <c r="B24" s="22" t="str">
        <f>RIGHT(B91,5)</f>
        <v>90095</v>
      </c>
      <c r="C24" s="23" t="s">
        <v>272</v>
      </c>
      <c r="D24" s="3"/>
      <c r="E24" s="24"/>
      <c r="F24" s="26">
        <f>F91</f>
        <v>113220</v>
      </c>
      <c r="G24" s="25">
        <f t="shared" si="0"/>
        <v>4435000</v>
      </c>
      <c r="H24" s="26">
        <f>H91</f>
        <v>406000</v>
      </c>
      <c r="I24" s="26">
        <f>I91</f>
        <v>2949000</v>
      </c>
      <c r="J24" s="26">
        <f>J91</f>
        <v>1080000</v>
      </c>
      <c r="K24" s="26">
        <f>K91</f>
        <v>0</v>
      </c>
      <c r="L24" s="27">
        <f t="shared" si="1"/>
        <v>4435000</v>
      </c>
      <c r="M24" s="26">
        <f>M91</f>
        <v>0</v>
      </c>
      <c r="N24" s="26">
        <f>N91</f>
        <v>0</v>
      </c>
      <c r="O24" s="26">
        <f>O91</f>
        <v>0</v>
      </c>
    </row>
    <row r="25" spans="1:15" ht="19.5" customHeight="1">
      <c r="A25" s="129"/>
      <c r="B25" s="22" t="str">
        <f>RIGHT(B107,5)</f>
        <v>92105</v>
      </c>
      <c r="C25" s="23" t="s">
        <v>273</v>
      </c>
      <c r="D25" s="3"/>
      <c r="E25" s="24"/>
      <c r="F25" s="26">
        <f>F107</f>
        <v>5202</v>
      </c>
      <c r="G25" s="25">
        <f>SUM(H25:K25)</f>
        <v>286000</v>
      </c>
      <c r="H25" s="26">
        <f>H107</f>
        <v>0</v>
      </c>
      <c r="I25" s="26">
        <f>I107</f>
        <v>200000</v>
      </c>
      <c r="J25" s="26">
        <f>J107</f>
        <v>0</v>
      </c>
      <c r="K25" s="26">
        <f>K107</f>
        <v>86000</v>
      </c>
      <c r="L25" s="27">
        <f t="shared" si="1"/>
        <v>286000</v>
      </c>
      <c r="M25" s="26">
        <f>M107</f>
        <v>0</v>
      </c>
      <c r="N25" s="26">
        <f>N107</f>
        <v>0</v>
      </c>
      <c r="O25" s="26">
        <f>O107</f>
        <v>0</v>
      </c>
    </row>
    <row r="26" spans="1:15" ht="19.5" customHeight="1">
      <c r="A26" s="129"/>
      <c r="B26" s="22" t="str">
        <f>RIGHT(B111,5)</f>
        <v>92604</v>
      </c>
      <c r="C26" s="23" t="s">
        <v>274</v>
      </c>
      <c r="D26" s="3"/>
      <c r="E26" s="24"/>
      <c r="F26" s="26">
        <f>F111</f>
        <v>658</v>
      </c>
      <c r="G26" s="25">
        <f t="shared" si="0"/>
        <v>658000</v>
      </c>
      <c r="H26" s="26">
        <f>H111</f>
        <v>10000</v>
      </c>
      <c r="I26" s="26">
        <f>I111</f>
        <v>648000</v>
      </c>
      <c r="J26" s="26">
        <f>J111</f>
        <v>0</v>
      </c>
      <c r="K26" s="26">
        <f>K111</f>
        <v>0</v>
      </c>
      <c r="L26" s="27">
        <f t="shared" si="1"/>
        <v>658000</v>
      </c>
      <c r="M26" s="26">
        <f>M111</f>
        <v>0</v>
      </c>
      <c r="N26" s="26">
        <f>N111</f>
        <v>0</v>
      </c>
      <c r="O26" s="26">
        <f>O111</f>
        <v>0</v>
      </c>
    </row>
    <row r="27" spans="1:15" ht="19.5" customHeight="1">
      <c r="A27" s="130"/>
      <c r="B27" s="22" t="str">
        <f>RIGHT(B116,5)</f>
        <v>92695</v>
      </c>
      <c r="C27" s="30" t="s">
        <v>275</v>
      </c>
      <c r="D27" s="34"/>
      <c r="E27" s="31"/>
      <c r="F27" s="32">
        <f>F116</f>
        <v>200</v>
      </c>
      <c r="G27" s="25">
        <f t="shared" si="0"/>
        <v>230000</v>
      </c>
      <c r="H27" s="32">
        <f>H116</f>
        <v>0</v>
      </c>
      <c r="I27" s="32">
        <f>I116</f>
        <v>230000</v>
      </c>
      <c r="J27" s="32">
        <f>J116</f>
        <v>0</v>
      </c>
      <c r="K27" s="32">
        <f>K116</f>
        <v>0</v>
      </c>
      <c r="L27" s="27">
        <f t="shared" si="1"/>
        <v>230000</v>
      </c>
      <c r="M27" s="32">
        <f>M116</f>
        <v>0</v>
      </c>
      <c r="N27" s="32">
        <f>N116</f>
        <v>0</v>
      </c>
      <c r="O27" s="32">
        <f>O116</f>
        <v>0</v>
      </c>
    </row>
    <row r="28" spans="1:15" ht="28.5" customHeight="1">
      <c r="A28" s="6"/>
      <c r="B28" s="3" t="s">
        <v>340</v>
      </c>
      <c r="C28" s="6" t="s">
        <v>342</v>
      </c>
      <c r="D28" s="6"/>
      <c r="E28" s="96"/>
      <c r="F28" s="11">
        <f>F29</f>
        <v>60</v>
      </c>
      <c r="G28" s="38">
        <f>SUM(H28:K28)</f>
        <v>60000</v>
      </c>
      <c r="H28" s="11">
        <f>SUM(H29:H29)</f>
        <v>0</v>
      </c>
      <c r="I28" s="11">
        <f>SUM(I29:I29)</f>
        <v>60000</v>
      </c>
      <c r="J28" s="11">
        <f>SUM(J29:J29)</f>
        <v>0</v>
      </c>
      <c r="K28" s="11">
        <f>SUM(K29:K29)</f>
        <v>0</v>
      </c>
      <c r="L28" s="20">
        <f>G28+M28+N28+O28</f>
        <v>60000</v>
      </c>
      <c r="M28" s="14">
        <f>M29</f>
        <v>0</v>
      </c>
      <c r="N28" s="10">
        <f>N29</f>
        <v>0</v>
      </c>
      <c r="O28" s="9">
        <f>O29</f>
        <v>0</v>
      </c>
    </row>
    <row r="29" spans="1:15" ht="27" customHeight="1">
      <c r="A29" s="37" t="s">
        <v>278</v>
      </c>
      <c r="B29" s="22" t="s">
        <v>329</v>
      </c>
      <c r="C29" s="23" t="s">
        <v>343</v>
      </c>
      <c r="D29" s="34" t="s">
        <v>484</v>
      </c>
      <c r="E29" s="60">
        <v>2006</v>
      </c>
      <c r="F29" s="32">
        <v>60</v>
      </c>
      <c r="G29" s="83">
        <f>SUM(H29:K29)</f>
        <v>60000</v>
      </c>
      <c r="H29" s="69">
        <v>0</v>
      </c>
      <c r="I29" s="69">
        <v>60000</v>
      </c>
      <c r="J29" s="69">
        <v>0</v>
      </c>
      <c r="K29" s="70">
        <v>0</v>
      </c>
      <c r="L29" s="27">
        <f>G29+M29+N29+O29</f>
        <v>60000</v>
      </c>
      <c r="M29" s="71">
        <v>0</v>
      </c>
      <c r="N29" s="26">
        <v>0</v>
      </c>
      <c r="O29" s="24">
        <v>0</v>
      </c>
    </row>
    <row r="30" spans="1:15" ht="28.5" customHeight="1">
      <c r="A30" s="37"/>
      <c r="B30" s="3" t="s">
        <v>276</v>
      </c>
      <c r="C30" s="6" t="s">
        <v>277</v>
      </c>
      <c r="D30" s="6"/>
      <c r="E30" s="9"/>
      <c r="F30" s="11">
        <f>SUM(F31:F49)</f>
        <v>81483</v>
      </c>
      <c r="G30" s="38">
        <f t="shared" si="0"/>
        <v>17303000</v>
      </c>
      <c r="H30" s="11">
        <f>H31+H32+H33+H35+H36+H37+H38+H39+H42+H43+H44+H47+H45+H46+H49</f>
        <v>130000</v>
      </c>
      <c r="I30" s="11">
        <f>I31+I32+I33+I35+I36+I37+I38+I39+I42+I43+I44+I47+I45+I46+I49</f>
        <v>16453000</v>
      </c>
      <c r="J30" s="11">
        <f>J31+J32+J33+J35+J36+J37+J38+J39+J42+J43+J44+J47+J45+J46+J49</f>
        <v>720000</v>
      </c>
      <c r="K30" s="11">
        <f>K31+K32+K33+K35+K36+K37+K38+K39+K42+K43+K44+K47+K45+K46+K49</f>
        <v>0</v>
      </c>
      <c r="L30" s="36">
        <f t="shared" si="1"/>
        <v>30111000</v>
      </c>
      <c r="M30" s="11">
        <f>M31+M32+M33+M35+M36+M37+M38+M39+M42+M43+M44+M47+M45+M46+M49</f>
        <v>0</v>
      </c>
      <c r="N30" s="11">
        <f>N31+N32+N33+N35+N36+N37+N38+N39+N42+N43+N44+N47+N45+N46+N49</f>
        <v>0</v>
      </c>
      <c r="O30" s="9">
        <f>O31+O32+O33+O35+O36+O37+O38+O39+O42+O43+O44+O47+O45+O46+O49</f>
        <v>12808000</v>
      </c>
    </row>
    <row r="31" spans="1:70" s="245" customFormat="1" ht="28.5" customHeight="1">
      <c r="A31" s="246" t="s">
        <v>278</v>
      </c>
      <c r="B31" s="232" t="s">
        <v>279</v>
      </c>
      <c r="C31" s="247" t="s">
        <v>281</v>
      </c>
      <c r="D31" s="234" t="s">
        <v>485</v>
      </c>
      <c r="E31" s="248" t="s">
        <v>429</v>
      </c>
      <c r="F31" s="238">
        <f>3478+23474+6101+12808</f>
        <v>45861</v>
      </c>
      <c r="G31" s="237">
        <f t="shared" si="0"/>
        <v>10501000</v>
      </c>
      <c r="H31" s="236">
        <v>0</v>
      </c>
      <c r="I31" s="236">
        <v>10501000</v>
      </c>
      <c r="J31" s="236">
        <v>0</v>
      </c>
      <c r="K31" s="249">
        <v>0</v>
      </c>
      <c r="L31" s="240">
        <f t="shared" si="1"/>
        <v>23309000</v>
      </c>
      <c r="M31" s="250">
        <v>0</v>
      </c>
      <c r="N31" s="236">
        <v>0</v>
      </c>
      <c r="O31" s="242">
        <v>12808000</v>
      </c>
      <c r="P31" s="243"/>
      <c r="Q31" s="243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</row>
    <row r="32" spans="1:15" ht="18" customHeight="1">
      <c r="A32" s="434" t="s">
        <v>280</v>
      </c>
      <c r="B32" s="50" t="s">
        <v>319</v>
      </c>
      <c r="C32" s="437" t="s">
        <v>431</v>
      </c>
      <c r="D32" s="440" t="s">
        <v>485</v>
      </c>
      <c r="E32" s="443" t="s">
        <v>430</v>
      </c>
      <c r="F32" s="446">
        <f>30+6600+14750</f>
        <v>21380</v>
      </c>
      <c r="G32" s="61">
        <f>SUM(H32:K32)</f>
        <v>0</v>
      </c>
      <c r="H32" s="69">
        <v>0</v>
      </c>
      <c r="I32" s="69">
        <v>0</v>
      </c>
      <c r="J32" s="69">
        <v>0</v>
      </c>
      <c r="K32" s="70"/>
      <c r="L32" s="27">
        <f>G32+M32+N32+O32</f>
        <v>0</v>
      </c>
      <c r="M32" s="71">
        <v>0</v>
      </c>
      <c r="N32" s="26">
        <v>0</v>
      </c>
      <c r="O32" s="24">
        <v>0</v>
      </c>
    </row>
    <row r="33" spans="1:70" s="245" customFormat="1" ht="18" customHeight="1">
      <c r="A33" s="435"/>
      <c r="B33" s="251" t="s">
        <v>370</v>
      </c>
      <c r="C33" s="438"/>
      <c r="D33" s="441"/>
      <c r="E33" s="444"/>
      <c r="F33" s="420"/>
      <c r="G33" s="252">
        <f>SUM(H33:K33)</f>
        <v>5000</v>
      </c>
      <c r="H33" s="253"/>
      <c r="I33" s="253">
        <v>5000</v>
      </c>
      <c r="J33" s="253"/>
      <c r="K33" s="254"/>
      <c r="L33" s="240">
        <f>G33+M33+N33+O33</f>
        <v>5000</v>
      </c>
      <c r="M33" s="255">
        <v>0</v>
      </c>
      <c r="N33" s="256">
        <v>0</v>
      </c>
      <c r="O33" s="257">
        <v>0</v>
      </c>
      <c r="P33" s="243"/>
      <c r="Q33" s="243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</row>
    <row r="34" spans="1:15" ht="18" customHeight="1">
      <c r="A34" s="436"/>
      <c r="B34" s="50" t="s">
        <v>461</v>
      </c>
      <c r="C34" s="439"/>
      <c r="D34" s="442"/>
      <c r="E34" s="445"/>
      <c r="F34" s="421"/>
      <c r="G34" s="61">
        <f>SUM(H34:K34)</f>
        <v>5000</v>
      </c>
      <c r="H34" s="63">
        <f>SUM(H32:H33)</f>
        <v>0</v>
      </c>
      <c r="I34" s="63">
        <f>SUM(I32:I33)</f>
        <v>5000</v>
      </c>
      <c r="J34" s="63">
        <f>SUM(J32:J33)</f>
        <v>0</v>
      </c>
      <c r="K34" s="63">
        <f>SUM(K32:K33)</f>
        <v>0</v>
      </c>
      <c r="L34" s="27">
        <f>G34+M34+N34+O34</f>
        <v>5000</v>
      </c>
      <c r="M34" s="66">
        <v>0</v>
      </c>
      <c r="N34" s="32">
        <v>0</v>
      </c>
      <c r="O34" s="31">
        <v>0</v>
      </c>
    </row>
    <row r="35" spans="1:70" s="158" customFormat="1" ht="30" customHeight="1">
      <c r="A35" s="147" t="s">
        <v>282</v>
      </c>
      <c r="B35" s="148" t="s">
        <v>283</v>
      </c>
      <c r="C35" s="159" t="s">
        <v>481</v>
      </c>
      <c r="D35" s="177" t="s">
        <v>485</v>
      </c>
      <c r="E35" s="149">
        <v>2006</v>
      </c>
      <c r="F35" s="150">
        <v>150</v>
      </c>
      <c r="G35" s="151">
        <f>SUM(H35:K35)</f>
        <v>150000</v>
      </c>
      <c r="H35" s="152">
        <v>0</v>
      </c>
      <c r="I35" s="152">
        <v>150000</v>
      </c>
      <c r="J35" s="152">
        <v>0</v>
      </c>
      <c r="K35" s="153">
        <v>0</v>
      </c>
      <c r="L35" s="154">
        <f>G35+M35+N35+O35</f>
        <v>150000</v>
      </c>
      <c r="M35" s="155">
        <v>0</v>
      </c>
      <c r="N35" s="150">
        <v>0</v>
      </c>
      <c r="O35" s="156">
        <v>0</v>
      </c>
      <c r="P35" s="183"/>
      <c r="Q35" s="183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</row>
    <row r="36" spans="1:15" ht="28.5" customHeight="1">
      <c r="A36" s="67" t="s">
        <v>284</v>
      </c>
      <c r="B36" s="39" t="s">
        <v>283</v>
      </c>
      <c r="C36" s="161" t="s">
        <v>285</v>
      </c>
      <c r="D36" s="177" t="s">
        <v>485</v>
      </c>
      <c r="E36" s="42" t="s">
        <v>432</v>
      </c>
      <c r="F36" s="144">
        <f>29+180+1000</f>
        <v>1209</v>
      </c>
      <c r="G36" s="43">
        <f t="shared" si="0"/>
        <v>1000000</v>
      </c>
      <c r="H36" s="44">
        <v>0</v>
      </c>
      <c r="I36" s="44">
        <v>880000</v>
      </c>
      <c r="J36" s="44">
        <v>120000</v>
      </c>
      <c r="K36" s="45">
        <v>0</v>
      </c>
      <c r="L36" s="46">
        <f t="shared" si="1"/>
        <v>1000000</v>
      </c>
      <c r="M36" s="47">
        <v>0</v>
      </c>
      <c r="N36" s="44">
        <v>0</v>
      </c>
      <c r="O36" s="48">
        <v>0</v>
      </c>
    </row>
    <row r="37" spans="1:15" ht="29.25" customHeight="1">
      <c r="A37" s="37" t="s">
        <v>286</v>
      </c>
      <c r="B37" s="50" t="s">
        <v>283</v>
      </c>
      <c r="C37" s="160" t="s">
        <v>443</v>
      </c>
      <c r="D37" s="177" t="s">
        <v>485</v>
      </c>
      <c r="E37" s="52" t="s">
        <v>432</v>
      </c>
      <c r="F37" s="58">
        <f>14+150+270</f>
        <v>434</v>
      </c>
      <c r="G37" s="53">
        <f t="shared" si="0"/>
        <v>270000</v>
      </c>
      <c r="H37" s="54">
        <v>0</v>
      </c>
      <c r="I37" s="54">
        <v>270000</v>
      </c>
      <c r="J37" s="54">
        <v>0</v>
      </c>
      <c r="K37" s="55">
        <v>0</v>
      </c>
      <c r="L37" s="56">
        <f t="shared" si="1"/>
        <v>270000</v>
      </c>
      <c r="M37" s="57">
        <v>0</v>
      </c>
      <c r="N37" s="58">
        <v>0</v>
      </c>
      <c r="O37" s="59">
        <v>0</v>
      </c>
    </row>
    <row r="38" spans="1:15" ht="18" customHeight="1">
      <c r="A38" s="434" t="s">
        <v>287</v>
      </c>
      <c r="B38" s="39" t="s">
        <v>319</v>
      </c>
      <c r="C38" s="429" t="s">
        <v>292</v>
      </c>
      <c r="D38" s="432" t="s">
        <v>485</v>
      </c>
      <c r="E38" s="414" t="s">
        <v>432</v>
      </c>
      <c r="F38" s="446">
        <f>264+100+3905</f>
        <v>4269</v>
      </c>
      <c r="G38" s="61">
        <f t="shared" si="0"/>
        <v>0</v>
      </c>
      <c r="H38" s="54">
        <v>0</v>
      </c>
      <c r="I38" s="54">
        <v>0</v>
      </c>
      <c r="J38" s="54">
        <v>0</v>
      </c>
      <c r="K38" s="55"/>
      <c r="L38" s="56">
        <f t="shared" si="1"/>
        <v>0</v>
      </c>
      <c r="M38" s="57">
        <v>0</v>
      </c>
      <c r="N38" s="58">
        <v>0</v>
      </c>
      <c r="O38" s="59">
        <v>0</v>
      </c>
    </row>
    <row r="39" spans="1:70" s="245" customFormat="1" ht="18" customHeight="1">
      <c r="A39" s="435"/>
      <c r="B39" s="232" t="s">
        <v>370</v>
      </c>
      <c r="C39" s="430"/>
      <c r="D39" s="433"/>
      <c r="E39" s="415"/>
      <c r="F39" s="420"/>
      <c r="G39" s="252">
        <f t="shared" si="0"/>
        <v>2000000</v>
      </c>
      <c r="H39" s="258">
        <v>0</v>
      </c>
      <c r="I39" s="258">
        <v>2000000</v>
      </c>
      <c r="J39" s="258">
        <v>0</v>
      </c>
      <c r="K39" s="259">
        <v>0</v>
      </c>
      <c r="L39" s="260">
        <f t="shared" si="1"/>
        <v>2000000</v>
      </c>
      <c r="M39" s="261">
        <v>0</v>
      </c>
      <c r="N39" s="262">
        <v>0</v>
      </c>
      <c r="O39" s="263">
        <v>0</v>
      </c>
      <c r="P39" s="243"/>
      <c r="Q39" s="243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</row>
    <row r="40" spans="1:15" ht="18" customHeight="1">
      <c r="A40" s="436"/>
      <c r="B40" s="50" t="s">
        <v>461</v>
      </c>
      <c r="C40" s="431"/>
      <c r="D40" s="413"/>
      <c r="E40" s="416"/>
      <c r="F40" s="421"/>
      <c r="G40" s="61">
        <f t="shared" si="0"/>
        <v>2000000</v>
      </c>
      <c r="H40" s="54">
        <f>SUM(H38:H39)</f>
        <v>0</v>
      </c>
      <c r="I40" s="54">
        <f>SUM(I38:I39)</f>
        <v>2000000</v>
      </c>
      <c r="J40" s="54">
        <f>SUM(J38:J39)</f>
        <v>0</v>
      </c>
      <c r="K40" s="54">
        <f>SUM(K38:K39)</f>
        <v>0</v>
      </c>
      <c r="L40" s="146">
        <f t="shared" si="1"/>
        <v>2000000</v>
      </c>
      <c r="M40" s="57">
        <v>0</v>
      </c>
      <c r="N40" s="58">
        <v>0</v>
      </c>
      <c r="O40" s="59">
        <v>0</v>
      </c>
    </row>
    <row r="41" spans="1:70" s="245" customFormat="1" ht="24.75" customHeight="1">
      <c r="A41" s="246" t="s">
        <v>297</v>
      </c>
      <c r="B41" s="232" t="s">
        <v>283</v>
      </c>
      <c r="C41" s="233" t="s">
        <v>521</v>
      </c>
      <c r="D41" s="264" t="s">
        <v>484</v>
      </c>
      <c r="E41" s="235">
        <v>2006</v>
      </c>
      <c r="F41" s="236">
        <v>550</v>
      </c>
      <c r="G41" s="237">
        <f>SUM(H41:K41)</f>
        <v>550000</v>
      </c>
      <c r="H41" s="238">
        <v>550000</v>
      </c>
      <c r="I41" s="238">
        <v>0</v>
      </c>
      <c r="J41" s="238">
        <v>0</v>
      </c>
      <c r="K41" s="239">
        <v>0</v>
      </c>
      <c r="L41" s="240">
        <f>G41+M41+N41+O41</f>
        <v>550000</v>
      </c>
      <c r="M41" s="241">
        <v>0</v>
      </c>
      <c r="N41" s="236">
        <v>0</v>
      </c>
      <c r="O41" s="242">
        <v>0</v>
      </c>
      <c r="P41" s="243"/>
      <c r="Q41" s="243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</row>
    <row r="42" spans="1:15" ht="36" customHeight="1">
      <c r="A42" s="37" t="s">
        <v>288</v>
      </c>
      <c r="B42" s="39" t="s">
        <v>283</v>
      </c>
      <c r="C42" s="161" t="s">
        <v>289</v>
      </c>
      <c r="D42" s="177" t="s">
        <v>485</v>
      </c>
      <c r="E42" s="59" t="s">
        <v>434</v>
      </c>
      <c r="F42" s="58">
        <f>173+100+1500+2900</f>
        <v>4673</v>
      </c>
      <c r="G42" s="61">
        <f t="shared" si="0"/>
        <v>1500000</v>
      </c>
      <c r="H42" s="54">
        <v>100000</v>
      </c>
      <c r="I42" s="54">
        <v>1100000</v>
      </c>
      <c r="J42" s="54">
        <v>300000</v>
      </c>
      <c r="K42" s="55">
        <v>0</v>
      </c>
      <c r="L42" s="56">
        <f t="shared" si="1"/>
        <v>1500000</v>
      </c>
      <c r="M42" s="57">
        <v>0</v>
      </c>
      <c r="N42" s="58">
        <v>0</v>
      </c>
      <c r="O42" s="59">
        <v>0</v>
      </c>
    </row>
    <row r="43" spans="1:15" ht="24.75" customHeight="1">
      <c r="A43" s="67" t="s">
        <v>290</v>
      </c>
      <c r="B43" s="39" t="s">
        <v>283</v>
      </c>
      <c r="C43" s="161" t="s">
        <v>296</v>
      </c>
      <c r="D43" s="177" t="s">
        <v>485</v>
      </c>
      <c r="E43" s="52" t="s">
        <v>435</v>
      </c>
      <c r="F43" s="58">
        <f>30+600+400</f>
        <v>1030</v>
      </c>
      <c r="G43" s="61">
        <f t="shared" si="0"/>
        <v>600000</v>
      </c>
      <c r="H43" s="54">
        <v>0</v>
      </c>
      <c r="I43" s="54">
        <v>600000</v>
      </c>
      <c r="J43" s="54">
        <v>0</v>
      </c>
      <c r="K43" s="55">
        <v>0</v>
      </c>
      <c r="L43" s="56">
        <f t="shared" si="1"/>
        <v>600000</v>
      </c>
      <c r="M43" s="57">
        <v>0</v>
      </c>
      <c r="N43" s="58">
        <v>0</v>
      </c>
      <c r="O43" s="59">
        <v>0</v>
      </c>
    </row>
    <row r="44" spans="1:15" ht="27.75" customHeight="1">
      <c r="A44" s="37" t="s">
        <v>291</v>
      </c>
      <c r="B44" s="50" t="s">
        <v>283</v>
      </c>
      <c r="C44" s="162" t="s">
        <v>412</v>
      </c>
      <c r="D44" s="177" t="s">
        <v>485</v>
      </c>
      <c r="E44" s="85" t="s">
        <v>435</v>
      </c>
      <c r="F44" s="58">
        <f>10+577+120</f>
        <v>707</v>
      </c>
      <c r="G44" s="61">
        <f t="shared" si="0"/>
        <v>577000</v>
      </c>
      <c r="H44" s="54">
        <v>30000</v>
      </c>
      <c r="I44" s="54">
        <v>347000</v>
      </c>
      <c r="J44" s="54">
        <v>200000</v>
      </c>
      <c r="K44" s="55">
        <v>0</v>
      </c>
      <c r="L44" s="56">
        <f t="shared" si="1"/>
        <v>577000</v>
      </c>
      <c r="M44" s="57">
        <v>0</v>
      </c>
      <c r="N44" s="58">
        <v>0</v>
      </c>
      <c r="O44" s="59">
        <v>0</v>
      </c>
    </row>
    <row r="45" spans="1:15" ht="29.25" customHeight="1">
      <c r="A45" s="67" t="s">
        <v>293</v>
      </c>
      <c r="B45" s="39" t="s">
        <v>283</v>
      </c>
      <c r="C45" s="160" t="s">
        <v>414</v>
      </c>
      <c r="D45" s="177" t="s">
        <v>485</v>
      </c>
      <c r="E45" s="68">
        <v>2006</v>
      </c>
      <c r="F45" s="26">
        <v>100</v>
      </c>
      <c r="G45" s="25">
        <f t="shared" si="0"/>
        <v>100000</v>
      </c>
      <c r="H45" s="69">
        <v>0</v>
      </c>
      <c r="I45" s="69">
        <v>100000</v>
      </c>
      <c r="J45" s="69">
        <v>0</v>
      </c>
      <c r="K45" s="70">
        <v>0</v>
      </c>
      <c r="L45" s="27">
        <f t="shared" si="1"/>
        <v>100000</v>
      </c>
      <c r="M45" s="71">
        <v>0</v>
      </c>
      <c r="N45" s="26">
        <v>0</v>
      </c>
      <c r="O45" s="24">
        <v>0</v>
      </c>
    </row>
    <row r="46" spans="1:70" s="245" customFormat="1" ht="26.25" customHeight="1">
      <c r="A46" s="265" t="s">
        <v>294</v>
      </c>
      <c r="B46" s="232" t="s">
        <v>283</v>
      </c>
      <c r="C46" s="233" t="s">
        <v>445</v>
      </c>
      <c r="D46" s="234" t="s">
        <v>485</v>
      </c>
      <c r="E46" s="235">
        <v>2006</v>
      </c>
      <c r="F46" s="236">
        <v>250</v>
      </c>
      <c r="G46" s="237">
        <f t="shared" si="0"/>
        <v>100000</v>
      </c>
      <c r="H46" s="238">
        <v>0</v>
      </c>
      <c r="I46" s="238">
        <v>100000</v>
      </c>
      <c r="J46" s="238">
        <v>0</v>
      </c>
      <c r="K46" s="239">
        <v>0</v>
      </c>
      <c r="L46" s="240">
        <f>G46+M46+N46+O46</f>
        <v>100000</v>
      </c>
      <c r="M46" s="241">
        <v>0</v>
      </c>
      <c r="N46" s="236">
        <v>0</v>
      </c>
      <c r="O46" s="242">
        <v>0</v>
      </c>
      <c r="P46" s="243"/>
      <c r="Q46" s="243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</row>
    <row r="47" spans="1:70" s="219" customFormat="1" ht="27.75" customHeight="1">
      <c r="A47" s="205" t="s">
        <v>295</v>
      </c>
      <c r="B47" s="206" t="s">
        <v>283</v>
      </c>
      <c r="C47" s="207" t="s">
        <v>413</v>
      </c>
      <c r="D47" s="208" t="s">
        <v>484</v>
      </c>
      <c r="E47" s="209">
        <v>2006</v>
      </c>
      <c r="F47" s="210">
        <v>380</v>
      </c>
      <c r="G47" s="211">
        <f>SUM(H47:K47)</f>
        <v>380000</v>
      </c>
      <c r="H47" s="212">
        <v>0</v>
      </c>
      <c r="I47" s="212">
        <v>280000</v>
      </c>
      <c r="J47" s="212">
        <v>100000</v>
      </c>
      <c r="K47" s="213">
        <v>0</v>
      </c>
      <c r="L47" s="214">
        <f>G47+M47+N47+O47</f>
        <v>380000</v>
      </c>
      <c r="M47" s="215">
        <v>0</v>
      </c>
      <c r="N47" s="210">
        <v>0</v>
      </c>
      <c r="O47" s="216">
        <v>0</v>
      </c>
      <c r="P47" s="217"/>
      <c r="Q47" s="217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</row>
    <row r="48" spans="1:70" s="245" customFormat="1" ht="26.25" customHeight="1">
      <c r="A48" s="231" t="s">
        <v>295</v>
      </c>
      <c r="B48" s="232" t="s">
        <v>283</v>
      </c>
      <c r="C48" s="233" t="s">
        <v>520</v>
      </c>
      <c r="D48" s="234" t="s">
        <v>485</v>
      </c>
      <c r="E48" s="235">
        <v>2006</v>
      </c>
      <c r="F48" s="236">
        <f>370</f>
        <v>370</v>
      </c>
      <c r="G48" s="237">
        <f>SUM(H48:K48)</f>
        <v>370000</v>
      </c>
      <c r="H48" s="238">
        <v>0</v>
      </c>
      <c r="I48" s="238">
        <v>370000</v>
      </c>
      <c r="J48" s="238">
        <v>0</v>
      </c>
      <c r="K48" s="239">
        <v>0</v>
      </c>
      <c r="L48" s="240">
        <f>G48+M48+N48+O48</f>
        <v>370000</v>
      </c>
      <c r="M48" s="241">
        <v>0</v>
      </c>
      <c r="N48" s="236">
        <v>0</v>
      </c>
      <c r="O48" s="242">
        <v>0</v>
      </c>
      <c r="P48" s="243"/>
      <c r="Q48" s="243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</row>
    <row r="49" spans="1:15" ht="27" customHeight="1">
      <c r="A49" s="37" t="s">
        <v>297</v>
      </c>
      <c r="B49" s="39" t="s">
        <v>329</v>
      </c>
      <c r="C49" s="40" t="s">
        <v>397</v>
      </c>
      <c r="D49" s="34" t="s">
        <v>484</v>
      </c>
      <c r="E49" s="68">
        <v>2006</v>
      </c>
      <c r="F49" s="26">
        <v>120</v>
      </c>
      <c r="G49" s="25">
        <f t="shared" si="0"/>
        <v>120000</v>
      </c>
      <c r="H49" s="26">
        <v>0</v>
      </c>
      <c r="I49" s="26">
        <v>120000</v>
      </c>
      <c r="J49" s="26">
        <v>0</v>
      </c>
      <c r="K49" s="28">
        <v>0</v>
      </c>
      <c r="L49" s="27">
        <f t="shared" si="1"/>
        <v>120000</v>
      </c>
      <c r="M49" s="131">
        <v>0</v>
      </c>
      <c r="N49" s="26">
        <v>0</v>
      </c>
      <c r="O49" s="24">
        <v>0</v>
      </c>
    </row>
    <row r="50" spans="1:15" ht="31.5" customHeight="1">
      <c r="A50" s="72"/>
      <c r="B50" s="34" t="s">
        <v>330</v>
      </c>
      <c r="C50" s="33" t="s">
        <v>331</v>
      </c>
      <c r="D50" s="33"/>
      <c r="E50" s="31"/>
      <c r="F50" s="78">
        <f>SUM(F51)</f>
        <v>671</v>
      </c>
      <c r="G50" s="75">
        <f>SUM(H50:K50)</f>
        <v>671000</v>
      </c>
      <c r="H50" s="78">
        <f>SUM(H51)</f>
        <v>0</v>
      </c>
      <c r="I50" s="78">
        <f>SUM(I51)</f>
        <v>671000</v>
      </c>
      <c r="J50" s="78">
        <f>SUM(J51)</f>
        <v>0</v>
      </c>
      <c r="K50" s="78">
        <f>SUM(K51)</f>
        <v>0</v>
      </c>
      <c r="L50" s="36">
        <f>G50+M50+N50+O50</f>
        <v>671000</v>
      </c>
      <c r="M50" s="78">
        <f>SUM(M51)</f>
        <v>0</v>
      </c>
      <c r="N50" s="78">
        <f>SUM(N51)</f>
        <v>0</v>
      </c>
      <c r="O50" s="78">
        <f>SUM(O51)</f>
        <v>0</v>
      </c>
    </row>
    <row r="51" spans="1:15" ht="32.25" customHeight="1">
      <c r="A51" s="37" t="s">
        <v>278</v>
      </c>
      <c r="B51" s="22" t="s">
        <v>329</v>
      </c>
      <c r="C51" s="23" t="s">
        <v>332</v>
      </c>
      <c r="D51" s="3" t="s">
        <v>486</v>
      </c>
      <c r="E51" s="68">
        <v>2006</v>
      </c>
      <c r="F51" s="26">
        <v>671</v>
      </c>
      <c r="G51" s="25">
        <f>SUM(H51:K51)</f>
        <v>671000</v>
      </c>
      <c r="H51" s="26">
        <v>0</v>
      </c>
      <c r="I51" s="26">
        <v>671000</v>
      </c>
      <c r="J51" s="26">
        <v>0</v>
      </c>
      <c r="K51" s="28">
        <v>0</v>
      </c>
      <c r="L51" s="27">
        <f>G51+M51+N51+O51</f>
        <v>671000</v>
      </c>
      <c r="M51" s="71">
        <v>0</v>
      </c>
      <c r="N51" s="26">
        <v>0</v>
      </c>
      <c r="O51" s="24">
        <v>0</v>
      </c>
    </row>
    <row r="52" spans="1:15" ht="26.25" customHeight="1">
      <c r="A52" s="37"/>
      <c r="B52" s="3" t="s">
        <v>298</v>
      </c>
      <c r="C52" s="6" t="s">
        <v>299</v>
      </c>
      <c r="D52" s="6"/>
      <c r="E52" s="18"/>
      <c r="F52" s="19">
        <f>SUM(F53:F55)</f>
        <v>23937</v>
      </c>
      <c r="G52" s="38">
        <f t="shared" si="0"/>
        <v>5780000</v>
      </c>
      <c r="H52" s="19">
        <f>SUM(H53:H55)</f>
        <v>0</v>
      </c>
      <c r="I52" s="19">
        <f>SUM(I53:I55)</f>
        <v>5780000</v>
      </c>
      <c r="J52" s="19">
        <f>SUM(J53:J55)</f>
        <v>0</v>
      </c>
      <c r="K52" s="19">
        <f>SUM(K53:K55)</f>
        <v>0</v>
      </c>
      <c r="L52" s="20">
        <f t="shared" si="1"/>
        <v>5780000</v>
      </c>
      <c r="M52" s="19">
        <f>SUM(M53:M55)</f>
        <v>0</v>
      </c>
      <c r="N52" s="19">
        <f>SUM(N53:N55)</f>
        <v>0</v>
      </c>
      <c r="O52" s="19">
        <f>SUM(O53:O55)</f>
        <v>0</v>
      </c>
    </row>
    <row r="53" spans="1:15" ht="28.5" customHeight="1">
      <c r="A53" s="72" t="s">
        <v>278</v>
      </c>
      <c r="B53" s="22" t="s">
        <v>283</v>
      </c>
      <c r="C53" s="23" t="s">
        <v>395</v>
      </c>
      <c r="D53" s="3" t="s">
        <v>486</v>
      </c>
      <c r="E53" s="120" t="s">
        <v>437</v>
      </c>
      <c r="F53" s="32">
        <f>3727+2038+319+1492+7626-1920</f>
        <v>13282</v>
      </c>
      <c r="G53" s="62">
        <f t="shared" si="0"/>
        <v>1280000</v>
      </c>
      <c r="H53" s="32">
        <v>0</v>
      </c>
      <c r="I53" s="32">
        <v>1280000</v>
      </c>
      <c r="J53" s="32"/>
      <c r="K53" s="73">
        <v>0</v>
      </c>
      <c r="L53" s="27">
        <f t="shared" si="1"/>
        <v>1280000</v>
      </c>
      <c r="M53" s="66">
        <v>0</v>
      </c>
      <c r="N53" s="32"/>
      <c r="O53" s="31"/>
    </row>
    <row r="54" spans="1:15" ht="39" customHeight="1">
      <c r="A54" s="37" t="s">
        <v>280</v>
      </c>
      <c r="B54" s="22" t="s">
        <v>283</v>
      </c>
      <c r="C54" s="23" t="s">
        <v>468</v>
      </c>
      <c r="D54" s="34" t="s">
        <v>485</v>
      </c>
      <c r="E54" s="60" t="s">
        <v>469</v>
      </c>
      <c r="F54" s="32">
        <f>51+1136+2999+3200+1944</f>
        <v>9330</v>
      </c>
      <c r="G54" s="62">
        <f>SUM(H54:K54)</f>
        <v>3200000</v>
      </c>
      <c r="H54" s="26">
        <v>0</v>
      </c>
      <c r="I54" s="26">
        <v>3200000</v>
      </c>
      <c r="J54" s="26">
        <v>0</v>
      </c>
      <c r="K54" s="26">
        <v>0</v>
      </c>
      <c r="L54" s="27">
        <f t="shared" si="1"/>
        <v>3200000</v>
      </c>
      <c r="M54" s="71">
        <v>0</v>
      </c>
      <c r="N54" s="26">
        <v>0</v>
      </c>
      <c r="O54" s="24">
        <v>0</v>
      </c>
    </row>
    <row r="55" spans="1:15" ht="29.25" customHeight="1">
      <c r="A55" s="37" t="s">
        <v>282</v>
      </c>
      <c r="B55" s="95" t="s">
        <v>283</v>
      </c>
      <c r="C55" s="30" t="s">
        <v>394</v>
      </c>
      <c r="D55" s="3" t="s">
        <v>486</v>
      </c>
      <c r="E55" s="68" t="s">
        <v>433</v>
      </c>
      <c r="F55" s="26">
        <f>25+1300</f>
        <v>1325</v>
      </c>
      <c r="G55" s="25">
        <f>SUM(H55:K55)</f>
        <v>1300000</v>
      </c>
      <c r="H55" s="69">
        <v>0</v>
      </c>
      <c r="I55" s="69">
        <v>1300000</v>
      </c>
      <c r="J55" s="69">
        <v>0</v>
      </c>
      <c r="K55" s="70">
        <v>0</v>
      </c>
      <c r="L55" s="27">
        <f t="shared" si="1"/>
        <v>1300000</v>
      </c>
      <c r="M55" s="71">
        <v>0</v>
      </c>
      <c r="N55" s="26">
        <v>0</v>
      </c>
      <c r="O55" s="24">
        <f>M55+N55</f>
        <v>0</v>
      </c>
    </row>
    <row r="56" spans="1:15" ht="24.75" customHeight="1">
      <c r="A56" s="37"/>
      <c r="B56" s="3" t="s">
        <v>347</v>
      </c>
      <c r="C56" s="6" t="s">
        <v>348</v>
      </c>
      <c r="D56" s="6"/>
      <c r="E56" s="76"/>
      <c r="F56" s="19">
        <f>SUM(F57:F58)</f>
        <v>126</v>
      </c>
      <c r="G56" s="38">
        <f>SUM(H56:K56)</f>
        <v>126000</v>
      </c>
      <c r="H56" s="19">
        <f>SUM(H57:H58)</f>
        <v>0</v>
      </c>
      <c r="I56" s="19">
        <f>SUM(I57:I58)</f>
        <v>126000</v>
      </c>
      <c r="J56" s="19">
        <f>SUM(J57:J58)</f>
        <v>0</v>
      </c>
      <c r="K56" s="19">
        <f>SUM(K57:K58)</f>
        <v>0</v>
      </c>
      <c r="L56" s="20">
        <f t="shared" si="1"/>
        <v>126000</v>
      </c>
      <c r="M56" s="21">
        <f>SUM(M57:M58)</f>
        <v>0</v>
      </c>
      <c r="N56" s="21">
        <f>SUM(N57:N58)</f>
        <v>0</v>
      </c>
      <c r="O56" s="21">
        <f>SUM(O57:O58)</f>
        <v>0</v>
      </c>
    </row>
    <row r="57" spans="1:15" ht="25.5" customHeight="1">
      <c r="A57" s="37" t="s">
        <v>278</v>
      </c>
      <c r="B57" s="22" t="s">
        <v>329</v>
      </c>
      <c r="C57" s="103" t="s">
        <v>402</v>
      </c>
      <c r="D57" s="178" t="s">
        <v>489</v>
      </c>
      <c r="E57" s="60">
        <v>2006</v>
      </c>
      <c r="F57" s="32">
        <v>26</v>
      </c>
      <c r="G57" s="25">
        <f>SUM(H57:K57)</f>
        <v>26000</v>
      </c>
      <c r="H57" s="97">
        <v>0</v>
      </c>
      <c r="I57" s="97">
        <v>26000</v>
      </c>
      <c r="J57" s="97">
        <v>0</v>
      </c>
      <c r="K57" s="98">
        <v>0</v>
      </c>
      <c r="L57" s="27">
        <f t="shared" si="1"/>
        <v>26000</v>
      </c>
      <c r="M57" s="99">
        <v>0</v>
      </c>
      <c r="N57" s="26">
        <v>0</v>
      </c>
      <c r="O57" s="24">
        <v>0</v>
      </c>
    </row>
    <row r="58" spans="1:15" ht="27" customHeight="1">
      <c r="A58" s="37" t="s">
        <v>280</v>
      </c>
      <c r="B58" s="22" t="s">
        <v>283</v>
      </c>
      <c r="C58" s="23" t="s">
        <v>401</v>
      </c>
      <c r="D58" s="3" t="s">
        <v>489</v>
      </c>
      <c r="E58" s="68">
        <v>2006</v>
      </c>
      <c r="F58" s="26">
        <v>100</v>
      </c>
      <c r="G58" s="25">
        <f>SUM(H58:K58)</f>
        <v>100000</v>
      </c>
      <c r="H58" s="69">
        <v>0</v>
      </c>
      <c r="I58" s="69">
        <v>100000</v>
      </c>
      <c r="J58" s="69">
        <v>0</v>
      </c>
      <c r="K58" s="70">
        <v>0</v>
      </c>
      <c r="L58" s="27">
        <f t="shared" si="1"/>
        <v>100000</v>
      </c>
      <c r="M58" s="71">
        <v>0</v>
      </c>
      <c r="N58" s="26">
        <v>0</v>
      </c>
      <c r="O58" s="24">
        <v>0</v>
      </c>
    </row>
    <row r="59" spans="1:15" ht="26.25" customHeight="1">
      <c r="A59" s="72"/>
      <c r="B59" s="34" t="s">
        <v>300</v>
      </c>
      <c r="C59" s="33" t="s">
        <v>301</v>
      </c>
      <c r="D59" s="33"/>
      <c r="E59" s="74"/>
      <c r="F59" s="78">
        <f>SUM(F60:F67)</f>
        <v>2679</v>
      </c>
      <c r="G59" s="75">
        <f aca="true" t="shared" si="2" ref="G59:G92">SUM(H59:K59)</f>
        <v>1575000</v>
      </c>
      <c r="H59" s="35">
        <f>SUM(H60:H67)</f>
        <v>25000</v>
      </c>
      <c r="I59" s="35">
        <f>SUM(I60:I67)</f>
        <v>1550000</v>
      </c>
      <c r="J59" s="35">
        <f>SUM(J60:J67)</f>
        <v>0</v>
      </c>
      <c r="K59" s="35">
        <f>SUM(K60:K67)</f>
        <v>0</v>
      </c>
      <c r="L59" s="36">
        <f t="shared" si="1"/>
        <v>1575000</v>
      </c>
      <c r="M59" s="35">
        <f>SUM(M60:M67)</f>
        <v>0</v>
      </c>
      <c r="N59" s="35">
        <f>SUM(N60:N67)</f>
        <v>0</v>
      </c>
      <c r="O59" s="35">
        <f>SUM(O60:O67)</f>
        <v>0</v>
      </c>
    </row>
    <row r="60" spans="1:15" ht="23.25" customHeight="1">
      <c r="A60" s="37" t="s">
        <v>278</v>
      </c>
      <c r="B60" s="39" t="s">
        <v>283</v>
      </c>
      <c r="C60" s="30" t="s">
        <v>416</v>
      </c>
      <c r="D60" s="34" t="s">
        <v>485</v>
      </c>
      <c r="E60" s="68" t="s">
        <v>433</v>
      </c>
      <c r="F60" s="26">
        <f>60+200</f>
        <v>260</v>
      </c>
      <c r="G60" s="25">
        <f t="shared" si="2"/>
        <v>200000</v>
      </c>
      <c r="H60" s="63">
        <v>0</v>
      </c>
      <c r="I60" s="63">
        <v>200000</v>
      </c>
      <c r="J60" s="63">
        <v>0</v>
      </c>
      <c r="K60" s="64">
        <v>0</v>
      </c>
      <c r="L60" s="27">
        <f t="shared" si="1"/>
        <v>200000</v>
      </c>
      <c r="M60" s="71">
        <v>0</v>
      </c>
      <c r="N60" s="26">
        <v>0</v>
      </c>
      <c r="O60" s="24">
        <f aca="true" t="shared" si="3" ref="O60:O65">M60+N60</f>
        <v>0</v>
      </c>
    </row>
    <row r="61" spans="1:15" ht="29.25" customHeight="1">
      <c r="A61" s="37" t="s">
        <v>280</v>
      </c>
      <c r="B61" s="22" t="s">
        <v>329</v>
      </c>
      <c r="C61" s="23" t="s">
        <v>471</v>
      </c>
      <c r="D61" s="3" t="s">
        <v>487</v>
      </c>
      <c r="E61" s="68" t="s">
        <v>435</v>
      </c>
      <c r="F61" s="26">
        <f>573+200+291</f>
        <v>1064</v>
      </c>
      <c r="G61" s="25">
        <f t="shared" si="2"/>
        <v>200000</v>
      </c>
      <c r="H61" s="69">
        <v>0</v>
      </c>
      <c r="I61" s="69">
        <v>200000</v>
      </c>
      <c r="J61" s="69">
        <v>0</v>
      </c>
      <c r="K61" s="70">
        <v>0</v>
      </c>
      <c r="L61" s="27">
        <f t="shared" si="1"/>
        <v>200000</v>
      </c>
      <c r="M61" s="71">
        <v>0</v>
      </c>
      <c r="N61" s="26">
        <v>0</v>
      </c>
      <c r="O61" s="24">
        <f t="shared" si="3"/>
        <v>0</v>
      </c>
    </row>
    <row r="62" spans="1:15" ht="24" customHeight="1">
      <c r="A62" s="37" t="s">
        <v>282</v>
      </c>
      <c r="B62" s="22" t="s">
        <v>329</v>
      </c>
      <c r="C62" s="30" t="s">
        <v>393</v>
      </c>
      <c r="D62" s="34" t="s">
        <v>487</v>
      </c>
      <c r="E62" s="68">
        <v>2006</v>
      </c>
      <c r="F62" s="26">
        <v>20</v>
      </c>
      <c r="G62" s="25">
        <f>SUM(H62:K62)</f>
        <v>20000</v>
      </c>
      <c r="H62" s="69">
        <v>0</v>
      </c>
      <c r="I62" s="69">
        <v>20000</v>
      </c>
      <c r="J62" s="69">
        <v>0</v>
      </c>
      <c r="K62" s="70">
        <v>0</v>
      </c>
      <c r="L62" s="27">
        <f>G62+M62+N62+O62</f>
        <v>20000</v>
      </c>
      <c r="M62" s="71">
        <v>0</v>
      </c>
      <c r="N62" s="26">
        <v>0</v>
      </c>
      <c r="O62" s="24">
        <f t="shared" si="3"/>
        <v>0</v>
      </c>
    </row>
    <row r="63" spans="1:70" s="245" customFormat="1" ht="24" customHeight="1">
      <c r="A63" s="246" t="s">
        <v>286</v>
      </c>
      <c r="B63" s="266" t="s">
        <v>329</v>
      </c>
      <c r="C63" s="267" t="s">
        <v>522</v>
      </c>
      <c r="D63" s="264" t="s">
        <v>487</v>
      </c>
      <c r="E63" s="235">
        <v>2006</v>
      </c>
      <c r="F63" s="236">
        <v>19</v>
      </c>
      <c r="G63" s="237">
        <f>SUM(H63:K63)</f>
        <v>19000</v>
      </c>
      <c r="H63" s="238">
        <v>19000</v>
      </c>
      <c r="I63" s="238">
        <v>0</v>
      </c>
      <c r="J63" s="238">
        <v>0</v>
      </c>
      <c r="K63" s="239">
        <v>0</v>
      </c>
      <c r="L63" s="240">
        <f>G63+M63+N63+O63</f>
        <v>19000</v>
      </c>
      <c r="M63" s="241">
        <v>0</v>
      </c>
      <c r="N63" s="236">
        <v>0</v>
      </c>
      <c r="O63" s="242">
        <f t="shared" si="3"/>
        <v>0</v>
      </c>
      <c r="P63" s="243"/>
      <c r="Q63" s="243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</row>
    <row r="64" spans="1:70" s="245" customFormat="1" ht="24" customHeight="1">
      <c r="A64" s="246" t="s">
        <v>287</v>
      </c>
      <c r="B64" s="266" t="s">
        <v>329</v>
      </c>
      <c r="C64" s="267" t="s">
        <v>523</v>
      </c>
      <c r="D64" s="264" t="s">
        <v>487</v>
      </c>
      <c r="E64" s="235">
        <v>2006</v>
      </c>
      <c r="F64" s="236">
        <v>6</v>
      </c>
      <c r="G64" s="237">
        <f>SUM(H64:K64)</f>
        <v>6000</v>
      </c>
      <c r="H64" s="238">
        <v>6000</v>
      </c>
      <c r="I64" s="238">
        <v>0</v>
      </c>
      <c r="J64" s="238">
        <v>0</v>
      </c>
      <c r="K64" s="239">
        <v>0</v>
      </c>
      <c r="L64" s="240">
        <f>G64+M64+N64+O64</f>
        <v>6000</v>
      </c>
      <c r="M64" s="241">
        <v>0</v>
      </c>
      <c r="N64" s="236">
        <v>0</v>
      </c>
      <c r="O64" s="242">
        <f t="shared" si="3"/>
        <v>0</v>
      </c>
      <c r="P64" s="243"/>
      <c r="Q64" s="243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</row>
    <row r="65" spans="1:15" ht="24" customHeight="1">
      <c r="A65" s="37" t="s">
        <v>284</v>
      </c>
      <c r="B65" s="22" t="s">
        <v>329</v>
      </c>
      <c r="C65" s="30" t="s">
        <v>392</v>
      </c>
      <c r="D65" s="34" t="s">
        <v>487</v>
      </c>
      <c r="E65" s="68">
        <v>2006</v>
      </c>
      <c r="F65" s="26">
        <v>80</v>
      </c>
      <c r="G65" s="25">
        <f t="shared" si="2"/>
        <v>80000</v>
      </c>
      <c r="H65" s="69">
        <v>0</v>
      </c>
      <c r="I65" s="69">
        <v>80000</v>
      </c>
      <c r="J65" s="69">
        <v>0</v>
      </c>
      <c r="K65" s="70">
        <v>0</v>
      </c>
      <c r="L65" s="27">
        <f t="shared" si="1"/>
        <v>80000</v>
      </c>
      <c r="M65" s="71">
        <v>0</v>
      </c>
      <c r="N65" s="26">
        <v>0</v>
      </c>
      <c r="O65" s="24">
        <f t="shared" si="3"/>
        <v>0</v>
      </c>
    </row>
    <row r="66" spans="1:15" ht="24" customHeight="1">
      <c r="A66" s="37" t="s">
        <v>286</v>
      </c>
      <c r="B66" s="22" t="s">
        <v>283</v>
      </c>
      <c r="C66" s="30" t="s">
        <v>477</v>
      </c>
      <c r="D66" s="34" t="s">
        <v>485</v>
      </c>
      <c r="E66" s="68" t="s">
        <v>433</v>
      </c>
      <c r="F66" s="26">
        <f>170+750</f>
        <v>920</v>
      </c>
      <c r="G66" s="25">
        <f t="shared" si="2"/>
        <v>750000</v>
      </c>
      <c r="H66" s="69">
        <v>0</v>
      </c>
      <c r="I66" s="69">
        <v>750000</v>
      </c>
      <c r="J66" s="69">
        <v>0</v>
      </c>
      <c r="K66" s="70">
        <v>0</v>
      </c>
      <c r="L66" s="27">
        <f t="shared" si="1"/>
        <v>750000</v>
      </c>
      <c r="M66" s="71">
        <v>0</v>
      </c>
      <c r="N66" s="26">
        <v>0</v>
      </c>
      <c r="O66" s="24">
        <v>0</v>
      </c>
    </row>
    <row r="67" spans="1:15" ht="24" customHeight="1">
      <c r="A67" s="37" t="s">
        <v>287</v>
      </c>
      <c r="B67" s="22" t="s">
        <v>283</v>
      </c>
      <c r="C67" s="30" t="s">
        <v>302</v>
      </c>
      <c r="D67" s="34" t="s">
        <v>485</v>
      </c>
      <c r="E67" s="68" t="s">
        <v>433</v>
      </c>
      <c r="F67" s="26">
        <f>10+300</f>
        <v>310</v>
      </c>
      <c r="G67" s="25">
        <f t="shared" si="2"/>
        <v>300000</v>
      </c>
      <c r="H67" s="69">
        <v>0</v>
      </c>
      <c r="I67" s="69">
        <v>300000</v>
      </c>
      <c r="J67" s="69">
        <v>0</v>
      </c>
      <c r="K67" s="70">
        <v>0</v>
      </c>
      <c r="L67" s="27">
        <f t="shared" si="1"/>
        <v>300000</v>
      </c>
      <c r="M67" s="71">
        <v>0</v>
      </c>
      <c r="N67" s="26">
        <v>0</v>
      </c>
      <c r="O67" s="24">
        <v>0</v>
      </c>
    </row>
    <row r="68" spans="1:15" ht="29.25" customHeight="1">
      <c r="A68" s="6"/>
      <c r="B68" s="3" t="s">
        <v>335</v>
      </c>
      <c r="C68" s="6" t="s">
        <v>336</v>
      </c>
      <c r="D68" s="6"/>
      <c r="E68" s="68"/>
      <c r="F68" s="19">
        <f>SUM(F69)</f>
        <v>8</v>
      </c>
      <c r="G68" s="38">
        <f t="shared" si="2"/>
        <v>8500</v>
      </c>
      <c r="H68" s="11">
        <f>SUM(H69:H69)</f>
        <v>0</v>
      </c>
      <c r="I68" s="11">
        <f>SUM(I69:I69)</f>
        <v>8500</v>
      </c>
      <c r="J68" s="11">
        <f>SUM(J69:J69)</f>
        <v>0</v>
      </c>
      <c r="K68" s="12">
        <f>SUM(K69:K69)</f>
        <v>0</v>
      </c>
      <c r="L68" s="20">
        <f t="shared" si="1"/>
        <v>8500</v>
      </c>
      <c r="M68" s="14">
        <f>M69</f>
        <v>0</v>
      </c>
      <c r="N68" s="10">
        <f>N69</f>
        <v>0</v>
      </c>
      <c r="O68" s="9">
        <f>O69</f>
        <v>0</v>
      </c>
    </row>
    <row r="69" spans="1:15" ht="25.5" customHeight="1">
      <c r="A69" s="37" t="s">
        <v>278</v>
      </c>
      <c r="B69" s="22" t="s">
        <v>329</v>
      </c>
      <c r="C69" s="23" t="s">
        <v>337</v>
      </c>
      <c r="D69" s="3" t="s">
        <v>490</v>
      </c>
      <c r="E69" s="68">
        <v>2006</v>
      </c>
      <c r="F69" s="26">
        <v>8</v>
      </c>
      <c r="G69" s="83">
        <f t="shared" si="2"/>
        <v>8500</v>
      </c>
      <c r="H69" s="69">
        <v>0</v>
      </c>
      <c r="I69" s="69">
        <v>8500</v>
      </c>
      <c r="J69" s="69">
        <v>0</v>
      </c>
      <c r="K69" s="70">
        <v>0</v>
      </c>
      <c r="L69" s="27">
        <f t="shared" si="1"/>
        <v>8500</v>
      </c>
      <c r="M69" s="71">
        <v>0</v>
      </c>
      <c r="N69" s="26">
        <v>0</v>
      </c>
      <c r="O69" s="24">
        <v>0</v>
      </c>
    </row>
    <row r="70" spans="1:15" ht="27" customHeight="1">
      <c r="A70" s="37"/>
      <c r="B70" s="3" t="s">
        <v>359</v>
      </c>
      <c r="C70" s="6" t="s">
        <v>360</v>
      </c>
      <c r="D70" s="6"/>
      <c r="E70" s="68"/>
      <c r="F70" s="19">
        <f>SUM(F71:F72)</f>
        <v>66</v>
      </c>
      <c r="G70" s="38">
        <f t="shared" si="2"/>
        <v>66000</v>
      </c>
      <c r="H70" s="38">
        <f>SUM(H71:H72)</f>
        <v>0</v>
      </c>
      <c r="I70" s="38">
        <f>SUM(I71:I72)</f>
        <v>66000</v>
      </c>
      <c r="J70" s="38">
        <f>SUM(J71:J72)</f>
        <v>0</v>
      </c>
      <c r="K70" s="38">
        <f>SUM(K71:K72)</f>
        <v>0</v>
      </c>
      <c r="L70" s="20">
        <f t="shared" si="1"/>
        <v>66000</v>
      </c>
      <c r="M70" s="21">
        <f>SUM(M71)</f>
        <v>0</v>
      </c>
      <c r="N70" s="21">
        <f>SUM(N71)</f>
        <v>0</v>
      </c>
      <c r="O70" s="21">
        <f>SUM(O71)</f>
        <v>0</v>
      </c>
    </row>
    <row r="71" spans="1:70" s="132" customFormat="1" ht="30" customHeight="1">
      <c r="A71" s="37" t="s">
        <v>278</v>
      </c>
      <c r="B71" s="22" t="s">
        <v>329</v>
      </c>
      <c r="C71" s="23" t="s">
        <v>344</v>
      </c>
      <c r="D71" s="3" t="s">
        <v>491</v>
      </c>
      <c r="E71" s="68">
        <v>2006</v>
      </c>
      <c r="F71" s="26">
        <v>6</v>
      </c>
      <c r="G71" s="25">
        <f t="shared" si="2"/>
        <v>6000</v>
      </c>
      <c r="H71" s="97">
        <v>0</v>
      </c>
      <c r="I71" s="97">
        <v>6000</v>
      </c>
      <c r="J71" s="97">
        <v>0</v>
      </c>
      <c r="K71" s="98">
        <v>0</v>
      </c>
      <c r="L71" s="27">
        <f t="shared" si="1"/>
        <v>6000</v>
      </c>
      <c r="M71" s="99">
        <v>0</v>
      </c>
      <c r="N71" s="26">
        <v>0</v>
      </c>
      <c r="O71" s="24">
        <v>0</v>
      </c>
      <c r="P71" s="138"/>
      <c r="Q71" s="13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17" s="2" customFormat="1" ht="30" customHeight="1">
      <c r="A72" s="37" t="s">
        <v>280</v>
      </c>
      <c r="B72" s="22" t="s">
        <v>329</v>
      </c>
      <c r="C72" s="23" t="s">
        <v>396</v>
      </c>
      <c r="D72" s="3" t="s">
        <v>491</v>
      </c>
      <c r="E72" s="68">
        <v>2006</v>
      </c>
      <c r="F72" s="26">
        <v>60</v>
      </c>
      <c r="G72" s="25">
        <f t="shared" si="2"/>
        <v>60000</v>
      </c>
      <c r="H72" s="97">
        <v>0</v>
      </c>
      <c r="I72" s="97">
        <v>60000</v>
      </c>
      <c r="J72" s="97">
        <v>0</v>
      </c>
      <c r="K72" s="98">
        <v>0</v>
      </c>
      <c r="L72" s="27">
        <f t="shared" si="1"/>
        <v>60000</v>
      </c>
      <c r="M72" s="99">
        <v>0</v>
      </c>
      <c r="N72" s="26">
        <v>0</v>
      </c>
      <c r="O72" s="24">
        <v>0</v>
      </c>
      <c r="P72" s="138"/>
      <c r="Q72" s="138"/>
    </row>
    <row r="73" spans="1:15" ht="30.75" customHeight="1">
      <c r="A73" s="72"/>
      <c r="B73" s="91" t="s">
        <v>338</v>
      </c>
      <c r="C73" s="92" t="s">
        <v>339</v>
      </c>
      <c r="D73" s="173"/>
      <c r="E73" s="74"/>
      <c r="F73" s="78">
        <f>SUM(F74:F74)</f>
        <v>190</v>
      </c>
      <c r="G73" s="75">
        <f t="shared" si="2"/>
        <v>380000</v>
      </c>
      <c r="H73" s="35">
        <f>SUM(H74:H74)</f>
        <v>0</v>
      </c>
      <c r="I73" s="35">
        <f>SUM(I74:I75)</f>
        <v>380000</v>
      </c>
      <c r="J73" s="35">
        <f>SUM(J74:J75)</f>
        <v>0</v>
      </c>
      <c r="K73" s="35">
        <f>SUM(K74:K75)</f>
        <v>0</v>
      </c>
      <c r="L73" s="36">
        <f t="shared" si="1"/>
        <v>380000</v>
      </c>
      <c r="M73" s="35">
        <f>SUM(M74:M74)</f>
        <v>0</v>
      </c>
      <c r="N73" s="35">
        <f>SUM(N74:N74)</f>
        <v>0</v>
      </c>
      <c r="O73" s="35">
        <f>SUM(O74:O74)</f>
        <v>0</v>
      </c>
    </row>
    <row r="74" spans="1:15" ht="30.75" customHeight="1">
      <c r="A74" s="37" t="s">
        <v>278</v>
      </c>
      <c r="B74" s="22" t="s">
        <v>283</v>
      </c>
      <c r="C74" s="23" t="s">
        <v>442</v>
      </c>
      <c r="D74" s="3" t="s">
        <v>485</v>
      </c>
      <c r="E74" s="68" t="s">
        <v>433</v>
      </c>
      <c r="F74" s="26">
        <f>10+180</f>
        <v>190</v>
      </c>
      <c r="G74" s="25">
        <f t="shared" si="2"/>
        <v>180000</v>
      </c>
      <c r="H74" s="69">
        <v>0</v>
      </c>
      <c r="I74" s="69">
        <v>180000</v>
      </c>
      <c r="J74" s="69">
        <v>0</v>
      </c>
      <c r="K74" s="70">
        <v>0</v>
      </c>
      <c r="L74" s="27">
        <f t="shared" si="1"/>
        <v>180000</v>
      </c>
      <c r="M74" s="71">
        <v>0</v>
      </c>
      <c r="N74" s="26">
        <v>0</v>
      </c>
      <c r="O74" s="24">
        <v>0</v>
      </c>
    </row>
    <row r="75" spans="1:15" ht="30.75" customHeight="1">
      <c r="A75" s="37" t="s">
        <v>280</v>
      </c>
      <c r="B75" s="22" t="s">
        <v>283</v>
      </c>
      <c r="C75" s="23" t="s">
        <v>480</v>
      </c>
      <c r="D75" s="3" t="s">
        <v>490</v>
      </c>
      <c r="E75" s="68" t="s">
        <v>432</v>
      </c>
      <c r="F75" s="26">
        <f>28+30+200</f>
        <v>258</v>
      </c>
      <c r="G75" s="25">
        <f>SUM(H75:K75)</f>
        <v>200000</v>
      </c>
      <c r="H75" s="69">
        <v>0</v>
      </c>
      <c r="I75" s="69">
        <v>200000</v>
      </c>
      <c r="J75" s="69">
        <v>0</v>
      </c>
      <c r="K75" s="70">
        <v>0</v>
      </c>
      <c r="L75" s="27">
        <f>G75+M75+N75+O75</f>
        <v>200000</v>
      </c>
      <c r="M75" s="71">
        <v>0</v>
      </c>
      <c r="N75" s="26">
        <v>0</v>
      </c>
      <c r="O75" s="24">
        <v>0</v>
      </c>
    </row>
    <row r="76" spans="1:15" ht="30.75" customHeight="1">
      <c r="A76" s="72"/>
      <c r="B76" s="34" t="s">
        <v>303</v>
      </c>
      <c r="C76" s="33" t="s">
        <v>304</v>
      </c>
      <c r="D76" s="33"/>
      <c r="E76" s="74"/>
      <c r="F76" s="78">
        <f>SUM(F77:F78)</f>
        <v>1920</v>
      </c>
      <c r="G76" s="75">
        <f t="shared" si="2"/>
        <v>1900000</v>
      </c>
      <c r="H76" s="35">
        <f>SUM(H77:H78)</f>
        <v>0</v>
      </c>
      <c r="I76" s="35">
        <f>SUM(I77:I78)</f>
        <v>1800000</v>
      </c>
      <c r="J76" s="35">
        <f>SUM(J77:J78)</f>
        <v>100000</v>
      </c>
      <c r="K76" s="35">
        <f>SUM(K77:K78)</f>
        <v>0</v>
      </c>
      <c r="L76" s="36">
        <f t="shared" si="1"/>
        <v>1900000</v>
      </c>
      <c r="M76" s="35">
        <f>SUM(M77:M78)</f>
        <v>0</v>
      </c>
      <c r="N76" s="35">
        <f>SUM(N77:N78)</f>
        <v>0</v>
      </c>
      <c r="O76" s="35">
        <f>SUM(O77:O78)</f>
        <v>0</v>
      </c>
    </row>
    <row r="77" spans="1:15" ht="33" customHeight="1">
      <c r="A77" s="37" t="s">
        <v>278</v>
      </c>
      <c r="B77" s="39" t="s">
        <v>283</v>
      </c>
      <c r="C77" s="23" t="s">
        <v>462</v>
      </c>
      <c r="D77" s="3" t="s">
        <v>485</v>
      </c>
      <c r="E77" s="68">
        <v>2006</v>
      </c>
      <c r="F77" s="26">
        <v>600</v>
      </c>
      <c r="G77" s="25">
        <f t="shared" si="2"/>
        <v>600000</v>
      </c>
      <c r="H77" s="69">
        <v>0</v>
      </c>
      <c r="I77" s="69">
        <v>600000</v>
      </c>
      <c r="J77" s="69">
        <v>0</v>
      </c>
      <c r="K77" s="70">
        <v>0</v>
      </c>
      <c r="L77" s="27">
        <f t="shared" si="1"/>
        <v>600000</v>
      </c>
      <c r="M77" s="71">
        <v>0</v>
      </c>
      <c r="N77" s="26">
        <v>0</v>
      </c>
      <c r="O77" s="24">
        <v>0</v>
      </c>
    </row>
    <row r="78" spans="1:15" ht="38.25" customHeight="1">
      <c r="A78" s="37" t="s">
        <v>280</v>
      </c>
      <c r="B78" s="39" t="s">
        <v>283</v>
      </c>
      <c r="C78" s="23" t="s">
        <v>472</v>
      </c>
      <c r="D78" s="3" t="s">
        <v>485</v>
      </c>
      <c r="E78" s="68" t="s">
        <v>433</v>
      </c>
      <c r="F78" s="26">
        <f>20+1300</f>
        <v>1320</v>
      </c>
      <c r="G78" s="25">
        <f>SUM(H78:K78)</f>
        <v>1300000</v>
      </c>
      <c r="H78" s="69">
        <v>0</v>
      </c>
      <c r="I78" s="69">
        <v>1200000</v>
      </c>
      <c r="J78" s="69">
        <v>100000</v>
      </c>
      <c r="K78" s="70">
        <v>0</v>
      </c>
      <c r="L78" s="27">
        <f>G78+M78+N78+O78</f>
        <v>1300000</v>
      </c>
      <c r="M78" s="71">
        <v>0</v>
      </c>
      <c r="N78" s="26">
        <v>0</v>
      </c>
      <c r="O78" s="24">
        <v>0</v>
      </c>
    </row>
    <row r="79" spans="1:15" ht="29.25" customHeight="1">
      <c r="A79" s="37"/>
      <c r="B79" s="3" t="s">
        <v>305</v>
      </c>
      <c r="C79" s="6" t="s">
        <v>306</v>
      </c>
      <c r="D79" s="6"/>
      <c r="E79" s="76"/>
      <c r="F79" s="19">
        <f>SUM(F80)</f>
        <v>2600</v>
      </c>
      <c r="G79" s="38">
        <f t="shared" si="2"/>
        <v>1360000</v>
      </c>
      <c r="H79" s="11">
        <f>SUM(H80:H80)</f>
        <v>0</v>
      </c>
      <c r="I79" s="11">
        <f>SUM(I80:I80)</f>
        <v>1360000</v>
      </c>
      <c r="J79" s="11">
        <f>SUM(J80:J80)</f>
        <v>0</v>
      </c>
      <c r="K79" s="11">
        <f>SUM(K80:K80)</f>
        <v>0</v>
      </c>
      <c r="L79" s="20">
        <f t="shared" si="1"/>
        <v>1640000</v>
      </c>
      <c r="M79" s="77">
        <f>M80</f>
        <v>280000</v>
      </c>
      <c r="N79" s="77">
        <f>N80</f>
        <v>0</v>
      </c>
      <c r="O79" s="77">
        <f>O80</f>
        <v>0</v>
      </c>
    </row>
    <row r="80" spans="1:17" s="2" customFormat="1" ht="30.75" customHeight="1">
      <c r="A80" s="37" t="s">
        <v>278</v>
      </c>
      <c r="B80" s="39" t="s">
        <v>283</v>
      </c>
      <c r="C80" s="23" t="s">
        <v>307</v>
      </c>
      <c r="D80" s="3" t="s">
        <v>485</v>
      </c>
      <c r="E80" s="68" t="s">
        <v>433</v>
      </c>
      <c r="F80" s="26">
        <f>960+1640</f>
        <v>2600</v>
      </c>
      <c r="G80" s="25">
        <f t="shared" si="2"/>
        <v>1360000</v>
      </c>
      <c r="H80" s="69">
        <v>0</v>
      </c>
      <c r="I80" s="69">
        <v>1360000</v>
      </c>
      <c r="J80" s="69">
        <v>0</v>
      </c>
      <c r="K80" s="70">
        <v>0</v>
      </c>
      <c r="L80" s="27">
        <f t="shared" si="1"/>
        <v>1640000</v>
      </c>
      <c r="M80" s="71">
        <v>280000</v>
      </c>
      <c r="N80" s="26">
        <v>0</v>
      </c>
      <c r="O80" s="24">
        <v>0</v>
      </c>
      <c r="P80" s="184"/>
      <c r="Q80" s="138"/>
    </row>
    <row r="81" spans="1:17" s="2" customFormat="1" ht="30.75" customHeight="1">
      <c r="A81" s="37"/>
      <c r="B81" s="3" t="s">
        <v>356</v>
      </c>
      <c r="C81" s="6" t="s">
        <v>357</v>
      </c>
      <c r="D81" s="6"/>
      <c r="E81" s="76"/>
      <c r="F81" s="19">
        <f>SUM(F82)</f>
        <v>25</v>
      </c>
      <c r="G81" s="38">
        <f>SUM(H81:K81)</f>
        <v>25000</v>
      </c>
      <c r="H81" s="19">
        <f>SUM(H82)</f>
        <v>0</v>
      </c>
      <c r="I81" s="19">
        <f>SUM(I82)</f>
        <v>25000</v>
      </c>
      <c r="J81" s="19">
        <f>SUM(J82)</f>
        <v>0</v>
      </c>
      <c r="K81" s="89">
        <f>SUM(K82)</f>
        <v>0</v>
      </c>
      <c r="L81" s="20">
        <f>G81+M81+N81+O81</f>
        <v>25000</v>
      </c>
      <c r="M81" s="21">
        <f>SUM(M82)</f>
        <v>0</v>
      </c>
      <c r="N81" s="21">
        <f>SUM(N82)</f>
        <v>0</v>
      </c>
      <c r="O81" s="21">
        <f>SUM(O82)</f>
        <v>0</v>
      </c>
      <c r="P81" s="138"/>
      <c r="Q81" s="138"/>
    </row>
    <row r="82" spans="1:17" s="2" customFormat="1" ht="25.5" customHeight="1">
      <c r="A82" s="37" t="s">
        <v>278</v>
      </c>
      <c r="B82" s="22" t="s">
        <v>329</v>
      </c>
      <c r="C82" s="103" t="s">
        <v>400</v>
      </c>
      <c r="D82" s="178" t="s">
        <v>492</v>
      </c>
      <c r="E82" s="60">
        <v>2006</v>
      </c>
      <c r="F82" s="32">
        <v>25</v>
      </c>
      <c r="G82" s="25">
        <f>SUM(H82:K82)</f>
        <v>25000</v>
      </c>
      <c r="H82" s="97">
        <v>0</v>
      </c>
      <c r="I82" s="97">
        <v>25000</v>
      </c>
      <c r="J82" s="97">
        <v>0</v>
      </c>
      <c r="K82" s="98">
        <v>0</v>
      </c>
      <c r="L82" s="27">
        <f>G82+M82+N82+O82</f>
        <v>25000</v>
      </c>
      <c r="M82" s="99">
        <v>0</v>
      </c>
      <c r="N82" s="26">
        <v>0</v>
      </c>
      <c r="O82" s="24">
        <v>0</v>
      </c>
      <c r="P82" s="138"/>
      <c r="Q82" s="138"/>
    </row>
    <row r="83" spans="1:17" s="2" customFormat="1" ht="42.75" customHeight="1">
      <c r="A83" s="37"/>
      <c r="B83" s="3" t="s">
        <v>308</v>
      </c>
      <c r="C83" s="6" t="s">
        <v>309</v>
      </c>
      <c r="D83" s="6"/>
      <c r="E83" s="68"/>
      <c r="F83" s="19">
        <f>SUM(F84:F86)</f>
        <v>2625</v>
      </c>
      <c r="G83" s="38">
        <f t="shared" si="2"/>
        <v>125000</v>
      </c>
      <c r="H83" s="19">
        <f>SUM(H84:H86)</f>
        <v>30000</v>
      </c>
      <c r="I83" s="19">
        <f>SUM(I84:I86)</f>
        <v>95000</v>
      </c>
      <c r="J83" s="19">
        <f>SUM(J84:J86)</f>
        <v>0</v>
      </c>
      <c r="K83" s="19">
        <f>SUM(K84:K86)</f>
        <v>0</v>
      </c>
      <c r="L83" s="20">
        <f t="shared" si="1"/>
        <v>125000</v>
      </c>
      <c r="M83" s="19">
        <f>SUM(M84:M86)</f>
        <v>0</v>
      </c>
      <c r="N83" s="19">
        <f>SUM(N84:N86)</f>
        <v>0</v>
      </c>
      <c r="O83" s="19">
        <f>SUM(O84:O86)</f>
        <v>0</v>
      </c>
      <c r="P83" s="138"/>
      <c r="Q83" s="138"/>
    </row>
    <row r="84" spans="1:17" s="244" customFormat="1" ht="24.75" customHeight="1">
      <c r="A84" s="246" t="s">
        <v>278</v>
      </c>
      <c r="B84" s="232" t="s">
        <v>283</v>
      </c>
      <c r="C84" s="268" t="s">
        <v>310</v>
      </c>
      <c r="D84" s="269" t="s">
        <v>485</v>
      </c>
      <c r="E84" s="235" t="s">
        <v>437</v>
      </c>
      <c r="F84" s="236">
        <f>5+35+220+2270</f>
        <v>2530</v>
      </c>
      <c r="G84" s="237">
        <f t="shared" si="2"/>
        <v>30000</v>
      </c>
      <c r="H84" s="236">
        <v>30000</v>
      </c>
      <c r="I84" s="236">
        <v>0</v>
      </c>
      <c r="J84" s="236">
        <v>0</v>
      </c>
      <c r="K84" s="249">
        <v>0</v>
      </c>
      <c r="L84" s="240">
        <f t="shared" si="1"/>
        <v>30000</v>
      </c>
      <c r="M84" s="241">
        <v>0</v>
      </c>
      <c r="N84" s="236">
        <v>0</v>
      </c>
      <c r="O84" s="242">
        <v>0</v>
      </c>
      <c r="P84" s="243"/>
      <c r="Q84" s="243"/>
    </row>
    <row r="85" spans="1:17" s="2" customFormat="1" ht="23.25" customHeight="1">
      <c r="A85" s="37" t="s">
        <v>280</v>
      </c>
      <c r="B85" s="39" t="s">
        <v>283</v>
      </c>
      <c r="C85" s="23" t="s">
        <v>417</v>
      </c>
      <c r="D85" s="3" t="s">
        <v>485</v>
      </c>
      <c r="E85" s="68">
        <v>2006</v>
      </c>
      <c r="F85" s="26">
        <v>55</v>
      </c>
      <c r="G85" s="25">
        <f t="shared" si="2"/>
        <v>55000</v>
      </c>
      <c r="H85" s="26">
        <v>0</v>
      </c>
      <c r="I85" s="26">
        <v>55000</v>
      </c>
      <c r="J85" s="26">
        <v>0</v>
      </c>
      <c r="K85" s="28">
        <v>0</v>
      </c>
      <c r="L85" s="27">
        <f t="shared" si="1"/>
        <v>55000</v>
      </c>
      <c r="M85" s="71">
        <v>0</v>
      </c>
      <c r="N85" s="26">
        <v>0</v>
      </c>
      <c r="O85" s="24">
        <v>0</v>
      </c>
      <c r="P85" s="138"/>
      <c r="Q85" s="138"/>
    </row>
    <row r="86" spans="1:17" s="2" customFormat="1" ht="23.25" customHeight="1">
      <c r="A86" s="37" t="s">
        <v>282</v>
      </c>
      <c r="B86" s="39" t="s">
        <v>283</v>
      </c>
      <c r="C86" s="23" t="s">
        <v>418</v>
      </c>
      <c r="D86" s="3" t="s">
        <v>485</v>
      </c>
      <c r="E86" s="68">
        <v>2006</v>
      </c>
      <c r="F86" s="26">
        <v>40</v>
      </c>
      <c r="G86" s="25">
        <f t="shared" si="2"/>
        <v>40000</v>
      </c>
      <c r="H86" s="26">
        <v>0</v>
      </c>
      <c r="I86" s="26">
        <v>40000</v>
      </c>
      <c r="J86" s="26">
        <v>0</v>
      </c>
      <c r="K86" s="28">
        <v>0</v>
      </c>
      <c r="L86" s="27">
        <f t="shared" si="1"/>
        <v>40000</v>
      </c>
      <c r="M86" s="71">
        <v>0</v>
      </c>
      <c r="N86" s="26">
        <v>0</v>
      </c>
      <c r="O86" s="24">
        <v>0</v>
      </c>
      <c r="P86" s="138"/>
      <c r="Q86" s="138"/>
    </row>
    <row r="87" spans="1:17" s="2" customFormat="1" ht="31.5" customHeight="1">
      <c r="A87" s="72"/>
      <c r="B87" s="34" t="s">
        <v>311</v>
      </c>
      <c r="C87" s="33" t="s">
        <v>312</v>
      </c>
      <c r="D87" s="33"/>
      <c r="E87" s="74"/>
      <c r="F87" s="78">
        <f>F88</f>
        <v>1500</v>
      </c>
      <c r="G87" s="75">
        <f t="shared" si="2"/>
        <v>100000</v>
      </c>
      <c r="H87" s="78">
        <f>SUM(H88)</f>
        <v>0</v>
      </c>
      <c r="I87" s="78">
        <f>SUM(I88)</f>
        <v>100000</v>
      </c>
      <c r="J87" s="78">
        <f>SUM(J88)</f>
        <v>0</v>
      </c>
      <c r="K87" s="79">
        <f>SUM(K88)</f>
        <v>0</v>
      </c>
      <c r="L87" s="36">
        <f t="shared" si="1"/>
        <v>100000</v>
      </c>
      <c r="M87" s="80">
        <f>M88</f>
        <v>0</v>
      </c>
      <c r="N87" s="80">
        <f>N88</f>
        <v>0</v>
      </c>
      <c r="O87" s="80">
        <f>O88</f>
        <v>0</v>
      </c>
      <c r="P87" s="138"/>
      <c r="Q87" s="138"/>
    </row>
    <row r="88" spans="1:17" s="2" customFormat="1" ht="26.25" customHeight="1">
      <c r="A88" s="37" t="s">
        <v>278</v>
      </c>
      <c r="B88" s="39" t="s">
        <v>283</v>
      </c>
      <c r="C88" s="23" t="s">
        <v>313</v>
      </c>
      <c r="D88" s="3" t="s">
        <v>485</v>
      </c>
      <c r="E88" s="68" t="s">
        <v>435</v>
      </c>
      <c r="F88" s="26">
        <f>5+100+1395</f>
        <v>1500</v>
      </c>
      <c r="G88" s="25">
        <f t="shared" si="2"/>
        <v>100000</v>
      </c>
      <c r="H88" s="26">
        <v>0</v>
      </c>
      <c r="I88" s="26">
        <v>100000</v>
      </c>
      <c r="J88" s="26">
        <v>0</v>
      </c>
      <c r="K88" s="28">
        <v>0</v>
      </c>
      <c r="L88" s="27">
        <f t="shared" si="1"/>
        <v>100000</v>
      </c>
      <c r="M88" s="71">
        <v>0</v>
      </c>
      <c r="N88" s="26">
        <v>0</v>
      </c>
      <c r="O88" s="24">
        <f>M88+N88</f>
        <v>0</v>
      </c>
      <c r="P88" s="138"/>
      <c r="Q88" s="138"/>
    </row>
    <row r="89" spans="1:17" s="2" customFormat="1" ht="29.25" customHeight="1">
      <c r="A89" s="72"/>
      <c r="B89" s="34" t="s">
        <v>314</v>
      </c>
      <c r="C89" s="33" t="s">
        <v>315</v>
      </c>
      <c r="D89" s="33"/>
      <c r="E89" s="74"/>
      <c r="F89" s="78">
        <f>F90</f>
        <v>330</v>
      </c>
      <c r="G89" s="75">
        <f t="shared" si="2"/>
        <v>330000</v>
      </c>
      <c r="H89" s="78">
        <f>SUM(H90)</f>
        <v>0</v>
      </c>
      <c r="I89" s="78">
        <f>SUM(I90)</f>
        <v>330000</v>
      </c>
      <c r="J89" s="78">
        <f>SUM(J90)</f>
        <v>0</v>
      </c>
      <c r="K89" s="79">
        <f>SUM(K90)</f>
        <v>0</v>
      </c>
      <c r="L89" s="36">
        <f t="shared" si="1"/>
        <v>330000</v>
      </c>
      <c r="M89" s="80">
        <v>0</v>
      </c>
      <c r="N89" s="78">
        <v>0</v>
      </c>
      <c r="O89" s="81">
        <v>0</v>
      </c>
      <c r="P89" s="138"/>
      <c r="Q89" s="138"/>
    </row>
    <row r="90" spans="1:17" s="2" customFormat="1" ht="28.5" customHeight="1">
      <c r="A90" s="37" t="s">
        <v>278</v>
      </c>
      <c r="B90" s="39" t="s">
        <v>283</v>
      </c>
      <c r="C90" s="23" t="s">
        <v>316</v>
      </c>
      <c r="D90" s="3" t="s">
        <v>485</v>
      </c>
      <c r="E90" s="68">
        <v>2006</v>
      </c>
      <c r="F90" s="26">
        <v>330</v>
      </c>
      <c r="G90" s="25">
        <f t="shared" si="2"/>
        <v>330000</v>
      </c>
      <c r="H90" s="26">
        <v>0</v>
      </c>
      <c r="I90" s="26">
        <v>330000</v>
      </c>
      <c r="J90" s="26">
        <v>0</v>
      </c>
      <c r="K90" s="28">
        <v>0</v>
      </c>
      <c r="L90" s="27">
        <f aca="true" t="shared" si="4" ref="L90:L102">G90+M90+N90+O90</f>
        <v>330000</v>
      </c>
      <c r="M90" s="71">
        <v>0</v>
      </c>
      <c r="N90" s="26">
        <v>0</v>
      </c>
      <c r="O90" s="24">
        <f>M90+N90</f>
        <v>0</v>
      </c>
      <c r="P90" s="138"/>
      <c r="Q90" s="138"/>
    </row>
    <row r="91" spans="1:17" s="2" customFormat="1" ht="30.75" customHeight="1">
      <c r="A91" s="33"/>
      <c r="B91" s="34" t="s">
        <v>317</v>
      </c>
      <c r="C91" s="33" t="s">
        <v>318</v>
      </c>
      <c r="D91" s="33"/>
      <c r="E91" s="82"/>
      <c r="F91" s="35">
        <f>SUM(F92:F106)</f>
        <v>113220</v>
      </c>
      <c r="G91" s="75">
        <f t="shared" si="2"/>
        <v>4435000</v>
      </c>
      <c r="H91" s="35">
        <f>SUM(H92:H106)</f>
        <v>406000</v>
      </c>
      <c r="I91" s="35">
        <f>SUM(I92:I106)</f>
        <v>2949000</v>
      </c>
      <c r="J91" s="35">
        <f>SUM(J92:J106)</f>
        <v>1080000</v>
      </c>
      <c r="K91" s="35">
        <f>SUM(K92:K106)</f>
        <v>0</v>
      </c>
      <c r="L91" s="36">
        <f t="shared" si="4"/>
        <v>4435000</v>
      </c>
      <c r="M91" s="35">
        <f>SUM(M92:M106)</f>
        <v>0</v>
      </c>
      <c r="N91" s="35">
        <f>SUM(N92:N106)</f>
        <v>0</v>
      </c>
      <c r="O91" s="35">
        <f>SUM(O92:O106)</f>
        <v>0</v>
      </c>
      <c r="P91" s="138"/>
      <c r="Q91" s="138"/>
    </row>
    <row r="92" spans="1:70" s="132" customFormat="1" ht="27" customHeight="1">
      <c r="A92" s="37" t="s">
        <v>278</v>
      </c>
      <c r="B92" s="39" t="s">
        <v>283</v>
      </c>
      <c r="C92" s="51" t="s">
        <v>321</v>
      </c>
      <c r="D92" s="3" t="s">
        <v>485</v>
      </c>
      <c r="E92" s="68" t="s">
        <v>432</v>
      </c>
      <c r="F92" s="26">
        <f>10+465</f>
        <v>475</v>
      </c>
      <c r="G92" s="25">
        <f t="shared" si="2"/>
        <v>465000</v>
      </c>
      <c r="H92" s="83">
        <v>120000</v>
      </c>
      <c r="I92" s="83">
        <v>45000</v>
      </c>
      <c r="J92" s="83">
        <v>300000</v>
      </c>
      <c r="K92" s="84">
        <v>0</v>
      </c>
      <c r="L92" s="27">
        <f t="shared" si="4"/>
        <v>465000</v>
      </c>
      <c r="M92" s="71">
        <v>0</v>
      </c>
      <c r="N92" s="26">
        <v>0</v>
      </c>
      <c r="O92" s="24">
        <v>0</v>
      </c>
      <c r="P92" s="138"/>
      <c r="Q92" s="13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17" s="2" customFormat="1" ht="27" customHeight="1">
      <c r="A93" s="49" t="s">
        <v>280</v>
      </c>
      <c r="B93" s="50" t="s">
        <v>370</v>
      </c>
      <c r="C93" s="51" t="s">
        <v>473</v>
      </c>
      <c r="D93" s="3" t="s">
        <v>485</v>
      </c>
      <c r="E93" s="52" t="s">
        <v>438</v>
      </c>
      <c r="F93" s="58">
        <f>409+300+900+100779</f>
        <v>102388</v>
      </c>
      <c r="G93" s="25">
        <f>SUM(H93:K93)</f>
        <v>900000</v>
      </c>
      <c r="H93" s="83">
        <v>0</v>
      </c>
      <c r="I93" s="83">
        <v>900000</v>
      </c>
      <c r="J93" s="83">
        <v>0</v>
      </c>
      <c r="K93" s="84">
        <v>0</v>
      </c>
      <c r="L93" s="27">
        <f t="shared" si="4"/>
        <v>900000</v>
      </c>
      <c r="M93" s="71">
        <v>0</v>
      </c>
      <c r="N93" s="26">
        <v>0</v>
      </c>
      <c r="O93" s="59">
        <v>0</v>
      </c>
      <c r="P93" s="138"/>
      <c r="Q93" s="138"/>
    </row>
    <row r="94" spans="1:15" ht="24" customHeight="1">
      <c r="A94" s="37" t="s">
        <v>282</v>
      </c>
      <c r="B94" s="39" t="s">
        <v>283</v>
      </c>
      <c r="C94" s="23" t="s">
        <v>444</v>
      </c>
      <c r="D94" s="3" t="s">
        <v>485</v>
      </c>
      <c r="E94" s="68" t="s">
        <v>439</v>
      </c>
      <c r="F94" s="26">
        <f>1103+500+4730</f>
        <v>6333</v>
      </c>
      <c r="G94" s="25">
        <f>SUM(H94:K94)</f>
        <v>500000</v>
      </c>
      <c r="H94" s="83">
        <v>0</v>
      </c>
      <c r="I94" s="83">
        <v>500000</v>
      </c>
      <c r="J94" s="83">
        <v>0</v>
      </c>
      <c r="K94" s="84">
        <v>0</v>
      </c>
      <c r="L94" s="27">
        <f t="shared" si="4"/>
        <v>500000</v>
      </c>
      <c r="M94" s="71">
        <v>0</v>
      </c>
      <c r="N94" s="26">
        <v>0</v>
      </c>
      <c r="O94" s="24">
        <v>0</v>
      </c>
    </row>
    <row r="95" spans="1:15" ht="24" customHeight="1">
      <c r="A95" s="49" t="s">
        <v>284</v>
      </c>
      <c r="B95" s="39" t="s">
        <v>283</v>
      </c>
      <c r="C95" s="23" t="s">
        <v>320</v>
      </c>
      <c r="D95" s="3" t="s">
        <v>485</v>
      </c>
      <c r="E95" s="68" t="s">
        <v>435</v>
      </c>
      <c r="F95" s="26">
        <f>30+500+1300</f>
        <v>1830</v>
      </c>
      <c r="G95" s="25">
        <f>SUM(H95:K95)</f>
        <v>500000</v>
      </c>
      <c r="H95" s="83">
        <v>0</v>
      </c>
      <c r="I95" s="83">
        <v>500000</v>
      </c>
      <c r="J95" s="83">
        <v>0</v>
      </c>
      <c r="K95" s="84">
        <v>0</v>
      </c>
      <c r="L95" s="27">
        <f t="shared" si="4"/>
        <v>500000</v>
      </c>
      <c r="M95" s="71">
        <v>0</v>
      </c>
      <c r="N95" s="26">
        <v>0</v>
      </c>
      <c r="O95" s="24">
        <v>0</v>
      </c>
    </row>
    <row r="96" spans="1:15" ht="26.25" customHeight="1">
      <c r="A96" s="37" t="s">
        <v>286</v>
      </c>
      <c r="B96" s="50" t="s">
        <v>283</v>
      </c>
      <c r="C96" s="23" t="s">
        <v>322</v>
      </c>
      <c r="D96" s="3" t="s">
        <v>485</v>
      </c>
      <c r="E96" s="52">
        <v>2006</v>
      </c>
      <c r="F96" s="58">
        <v>200</v>
      </c>
      <c r="G96" s="61">
        <f aca="true" t="shared" si="5" ref="G96:G102">SUM(H96:K96)</f>
        <v>200000</v>
      </c>
      <c r="H96" s="53">
        <v>0</v>
      </c>
      <c r="I96" s="53">
        <v>200000</v>
      </c>
      <c r="J96" s="53">
        <v>0</v>
      </c>
      <c r="K96" s="88">
        <v>0</v>
      </c>
      <c r="L96" s="56">
        <f t="shared" si="4"/>
        <v>200000</v>
      </c>
      <c r="M96" s="57">
        <v>0</v>
      </c>
      <c r="N96" s="58">
        <v>0</v>
      </c>
      <c r="O96" s="59">
        <v>0</v>
      </c>
    </row>
    <row r="97" spans="1:15" ht="26.25" customHeight="1">
      <c r="A97" s="49" t="s">
        <v>287</v>
      </c>
      <c r="B97" s="39" t="s">
        <v>283</v>
      </c>
      <c r="C97" s="23" t="s">
        <v>323</v>
      </c>
      <c r="D97" s="3" t="s">
        <v>485</v>
      </c>
      <c r="E97" s="68" t="s">
        <v>433</v>
      </c>
      <c r="F97" s="26">
        <f>190</f>
        <v>190</v>
      </c>
      <c r="G97" s="25">
        <f t="shared" si="5"/>
        <v>180000</v>
      </c>
      <c r="H97" s="83">
        <v>0</v>
      </c>
      <c r="I97" s="83">
        <v>120000</v>
      </c>
      <c r="J97" s="83">
        <v>60000</v>
      </c>
      <c r="K97" s="84">
        <v>0</v>
      </c>
      <c r="L97" s="27">
        <f t="shared" si="4"/>
        <v>180000</v>
      </c>
      <c r="M97" s="71">
        <v>0</v>
      </c>
      <c r="N97" s="26">
        <v>0</v>
      </c>
      <c r="O97" s="24">
        <v>0</v>
      </c>
    </row>
    <row r="98" spans="1:15" ht="22.5" customHeight="1">
      <c r="A98" s="37" t="s">
        <v>288</v>
      </c>
      <c r="B98" s="50" t="s">
        <v>283</v>
      </c>
      <c r="C98" s="23" t="s">
        <v>419</v>
      </c>
      <c r="D98" s="3" t="s">
        <v>485</v>
      </c>
      <c r="E98" s="52">
        <v>2006</v>
      </c>
      <c r="F98" s="58">
        <v>280</v>
      </c>
      <c r="G98" s="61">
        <f t="shared" si="5"/>
        <v>280000</v>
      </c>
      <c r="H98" s="53">
        <v>18000</v>
      </c>
      <c r="I98" s="53">
        <v>112000</v>
      </c>
      <c r="J98" s="53">
        <v>150000</v>
      </c>
      <c r="K98" s="88">
        <v>0</v>
      </c>
      <c r="L98" s="56">
        <f t="shared" si="4"/>
        <v>280000</v>
      </c>
      <c r="M98" s="57">
        <v>0</v>
      </c>
      <c r="N98" s="58">
        <v>0</v>
      </c>
      <c r="O98" s="59">
        <v>0</v>
      </c>
    </row>
    <row r="99" spans="1:70" s="245" customFormat="1" ht="22.5" customHeight="1">
      <c r="A99" s="231" t="s">
        <v>290</v>
      </c>
      <c r="B99" s="251" t="s">
        <v>283</v>
      </c>
      <c r="C99" s="268" t="s">
        <v>420</v>
      </c>
      <c r="D99" s="269" t="s">
        <v>485</v>
      </c>
      <c r="E99" s="270">
        <v>2006</v>
      </c>
      <c r="F99" s="262">
        <v>250</v>
      </c>
      <c r="G99" s="252">
        <f t="shared" si="5"/>
        <v>250000</v>
      </c>
      <c r="H99" s="271">
        <v>130000</v>
      </c>
      <c r="I99" s="271"/>
      <c r="J99" s="271">
        <v>120000</v>
      </c>
      <c r="K99" s="272">
        <v>0</v>
      </c>
      <c r="L99" s="260">
        <f t="shared" si="4"/>
        <v>250000</v>
      </c>
      <c r="M99" s="261">
        <v>0</v>
      </c>
      <c r="N99" s="262">
        <v>0</v>
      </c>
      <c r="O99" s="263">
        <v>0</v>
      </c>
      <c r="P99" s="243"/>
      <c r="Q99" s="243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</row>
    <row r="100" spans="1:15" ht="22.5" customHeight="1">
      <c r="A100" s="37" t="s">
        <v>291</v>
      </c>
      <c r="B100" s="39" t="s">
        <v>283</v>
      </c>
      <c r="C100" s="141" t="s">
        <v>421</v>
      </c>
      <c r="D100" s="3" t="s">
        <v>485</v>
      </c>
      <c r="E100" s="68">
        <v>2006</v>
      </c>
      <c r="F100" s="26">
        <v>100</v>
      </c>
      <c r="G100" s="25">
        <f t="shared" si="5"/>
        <v>100000</v>
      </c>
      <c r="H100" s="83">
        <v>0</v>
      </c>
      <c r="I100" s="83">
        <v>100000</v>
      </c>
      <c r="J100" s="83">
        <v>0</v>
      </c>
      <c r="K100" s="84">
        <v>0</v>
      </c>
      <c r="L100" s="27">
        <f t="shared" si="4"/>
        <v>100000</v>
      </c>
      <c r="M100" s="71">
        <v>0</v>
      </c>
      <c r="N100" s="26">
        <v>0</v>
      </c>
      <c r="O100" s="24">
        <v>0</v>
      </c>
    </row>
    <row r="101" spans="1:15" ht="22.5" customHeight="1">
      <c r="A101" s="49" t="s">
        <v>293</v>
      </c>
      <c r="B101" s="39" t="s">
        <v>283</v>
      </c>
      <c r="C101" s="23" t="s">
        <v>422</v>
      </c>
      <c r="D101" s="3" t="s">
        <v>485</v>
      </c>
      <c r="E101" s="52">
        <v>2006</v>
      </c>
      <c r="F101" s="44">
        <v>500</v>
      </c>
      <c r="G101" s="62">
        <f t="shared" si="5"/>
        <v>500000</v>
      </c>
      <c r="H101" s="86">
        <v>0</v>
      </c>
      <c r="I101" s="86">
        <v>200000</v>
      </c>
      <c r="J101" s="86">
        <v>300000</v>
      </c>
      <c r="K101" s="87">
        <v>0</v>
      </c>
      <c r="L101" s="65">
        <f t="shared" si="4"/>
        <v>500000</v>
      </c>
      <c r="M101" s="66">
        <v>0</v>
      </c>
      <c r="N101" s="32">
        <v>0</v>
      </c>
      <c r="O101" s="31">
        <v>0</v>
      </c>
    </row>
    <row r="102" spans="1:15" ht="22.5" customHeight="1">
      <c r="A102" s="37" t="s">
        <v>294</v>
      </c>
      <c r="B102" s="39" t="s">
        <v>283</v>
      </c>
      <c r="C102" s="23" t="s">
        <v>423</v>
      </c>
      <c r="D102" s="3" t="s">
        <v>485</v>
      </c>
      <c r="E102" s="52">
        <v>2006</v>
      </c>
      <c r="F102" s="58">
        <v>15</v>
      </c>
      <c r="G102" s="25">
        <f t="shared" si="5"/>
        <v>15000</v>
      </c>
      <c r="H102" s="83">
        <v>6000</v>
      </c>
      <c r="I102" s="83">
        <v>9000</v>
      </c>
      <c r="J102" s="83">
        <v>0</v>
      </c>
      <c r="K102" s="84">
        <v>0</v>
      </c>
      <c r="L102" s="27">
        <f t="shared" si="4"/>
        <v>15000</v>
      </c>
      <c r="M102" s="71">
        <v>0</v>
      </c>
      <c r="N102" s="26">
        <v>0</v>
      </c>
      <c r="O102" s="24">
        <v>0</v>
      </c>
    </row>
    <row r="103" spans="1:15" ht="22.5" customHeight="1">
      <c r="A103" s="49" t="s">
        <v>295</v>
      </c>
      <c r="B103" s="39" t="s">
        <v>283</v>
      </c>
      <c r="C103" s="115" t="s">
        <v>426</v>
      </c>
      <c r="D103" s="3" t="s">
        <v>485</v>
      </c>
      <c r="E103" s="52">
        <v>2006</v>
      </c>
      <c r="F103" s="58">
        <v>65</v>
      </c>
      <c r="G103" s="25">
        <f>SUM(H103:K103)</f>
        <v>65000</v>
      </c>
      <c r="H103" s="83">
        <v>12000</v>
      </c>
      <c r="I103" s="83">
        <v>53000</v>
      </c>
      <c r="J103" s="83">
        <v>0</v>
      </c>
      <c r="K103" s="84">
        <v>0</v>
      </c>
      <c r="L103" s="27">
        <f>G103+M103+N103+O103</f>
        <v>65000</v>
      </c>
      <c r="M103" s="71">
        <v>0</v>
      </c>
      <c r="N103" s="26">
        <v>0</v>
      </c>
      <c r="O103" s="24">
        <v>0</v>
      </c>
    </row>
    <row r="104" spans="1:70" s="245" customFormat="1" ht="68.25" customHeight="1">
      <c r="A104" s="246" t="s">
        <v>517</v>
      </c>
      <c r="B104" s="232" t="s">
        <v>283</v>
      </c>
      <c r="C104" s="276" t="s">
        <v>536</v>
      </c>
      <c r="D104" s="269" t="s">
        <v>486</v>
      </c>
      <c r="E104" s="235">
        <v>2006</v>
      </c>
      <c r="F104" s="236">
        <v>110</v>
      </c>
      <c r="G104" s="237">
        <f>SUM(H104:K104)</f>
        <v>110000</v>
      </c>
      <c r="H104" s="274">
        <v>110000</v>
      </c>
      <c r="I104" s="274">
        <v>0</v>
      </c>
      <c r="J104" s="274">
        <v>0</v>
      </c>
      <c r="K104" s="275">
        <v>0</v>
      </c>
      <c r="L104" s="240">
        <f>G104+M104+N104+O104</f>
        <v>110000</v>
      </c>
      <c r="M104" s="241">
        <v>0</v>
      </c>
      <c r="N104" s="236">
        <v>0</v>
      </c>
      <c r="O104" s="242">
        <v>0</v>
      </c>
      <c r="P104" s="243"/>
      <c r="Q104" s="243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</row>
    <row r="105" spans="1:15" ht="22.5" customHeight="1">
      <c r="A105" s="37" t="s">
        <v>297</v>
      </c>
      <c r="B105" s="39" t="s">
        <v>283</v>
      </c>
      <c r="C105" s="115" t="s">
        <v>427</v>
      </c>
      <c r="D105" s="3" t="s">
        <v>485</v>
      </c>
      <c r="E105" s="68">
        <v>2006</v>
      </c>
      <c r="F105" s="26">
        <v>70</v>
      </c>
      <c r="G105" s="25">
        <f>SUM(H105:K105)</f>
        <v>70000</v>
      </c>
      <c r="H105" s="83">
        <v>10000</v>
      </c>
      <c r="I105" s="83">
        <v>60000</v>
      </c>
      <c r="J105" s="83">
        <v>0</v>
      </c>
      <c r="K105" s="84">
        <v>0</v>
      </c>
      <c r="L105" s="27">
        <f>G105+M105+N105+O105</f>
        <v>70000</v>
      </c>
      <c r="M105" s="71">
        <v>0</v>
      </c>
      <c r="N105" s="26">
        <v>0</v>
      </c>
      <c r="O105" s="24">
        <v>0</v>
      </c>
    </row>
    <row r="106" spans="1:70" s="245" customFormat="1" ht="22.5" customHeight="1">
      <c r="A106" s="246" t="s">
        <v>415</v>
      </c>
      <c r="B106" s="232" t="s">
        <v>283</v>
      </c>
      <c r="C106" s="273" t="s">
        <v>478</v>
      </c>
      <c r="D106" s="269" t="s">
        <v>485</v>
      </c>
      <c r="E106" s="235" t="s">
        <v>435</v>
      </c>
      <c r="F106" s="236">
        <f>14+300+100</f>
        <v>414</v>
      </c>
      <c r="G106" s="237">
        <f>SUM(H106:K106)</f>
        <v>300000</v>
      </c>
      <c r="H106" s="274">
        <v>0</v>
      </c>
      <c r="I106" s="274">
        <v>150000</v>
      </c>
      <c r="J106" s="274">
        <v>150000</v>
      </c>
      <c r="K106" s="275">
        <v>0</v>
      </c>
      <c r="L106" s="240">
        <f>G106+M106+N106+O106</f>
        <v>300000</v>
      </c>
      <c r="M106" s="241">
        <v>0</v>
      </c>
      <c r="N106" s="236">
        <v>0</v>
      </c>
      <c r="O106" s="242">
        <v>0</v>
      </c>
      <c r="P106" s="243"/>
      <c r="Q106" s="243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</row>
    <row r="107" spans="1:15" ht="27.75" customHeight="1">
      <c r="A107" s="37"/>
      <c r="B107" s="3" t="s">
        <v>324</v>
      </c>
      <c r="C107" s="6" t="s">
        <v>325</v>
      </c>
      <c r="D107" s="6"/>
      <c r="E107" s="76"/>
      <c r="F107" s="19">
        <f>F108</f>
        <v>5202</v>
      </c>
      <c r="G107" s="38">
        <f aca="true" t="shared" si="6" ref="G107:G170">SUM(H107:K107)</f>
        <v>286000</v>
      </c>
      <c r="H107" s="19">
        <f>SUM(H110)</f>
        <v>0</v>
      </c>
      <c r="I107" s="19">
        <f>SUM(I110)</f>
        <v>200000</v>
      </c>
      <c r="J107" s="19">
        <f>SUM(J110)</f>
        <v>0</v>
      </c>
      <c r="K107" s="19">
        <f>SUM(K110)</f>
        <v>86000</v>
      </c>
      <c r="L107" s="20">
        <f aca="true" t="shared" si="7" ref="L107:L170">G107+M107+N107+O107</f>
        <v>286000</v>
      </c>
      <c r="M107" s="19">
        <f>SUM(M110)</f>
        <v>0</v>
      </c>
      <c r="N107" s="19">
        <f>SUM(N110)</f>
        <v>0</v>
      </c>
      <c r="O107" s="19">
        <f>SUM(O110)</f>
        <v>0</v>
      </c>
    </row>
    <row r="108" spans="1:15" ht="18" customHeight="1">
      <c r="A108" s="422" t="s">
        <v>278</v>
      </c>
      <c r="B108" s="39" t="s">
        <v>319</v>
      </c>
      <c r="C108" s="425" t="s">
        <v>326</v>
      </c>
      <c r="D108" s="450" t="s">
        <v>485</v>
      </c>
      <c r="E108" s="443" t="s">
        <v>435</v>
      </c>
      <c r="F108" s="446">
        <f>100+286+4816</f>
        <v>5202</v>
      </c>
      <c r="G108" s="62">
        <f t="shared" si="6"/>
        <v>86000</v>
      </c>
      <c r="H108" s="32">
        <v>0</v>
      </c>
      <c r="I108" s="32">
        <v>0</v>
      </c>
      <c r="J108" s="32">
        <v>0</v>
      </c>
      <c r="K108" s="73">
        <v>86000</v>
      </c>
      <c r="L108" s="65">
        <f t="shared" si="7"/>
        <v>86000</v>
      </c>
      <c r="M108" s="66">
        <v>0</v>
      </c>
      <c r="N108" s="32">
        <v>0</v>
      </c>
      <c r="O108" s="31">
        <v>0</v>
      </c>
    </row>
    <row r="109" spans="1:15" ht="18" customHeight="1">
      <c r="A109" s="423"/>
      <c r="B109" s="39" t="s">
        <v>370</v>
      </c>
      <c r="C109" s="426"/>
      <c r="D109" s="428"/>
      <c r="E109" s="444"/>
      <c r="F109" s="420"/>
      <c r="G109" s="62">
        <f t="shared" si="6"/>
        <v>200000</v>
      </c>
      <c r="H109" s="32">
        <v>0</v>
      </c>
      <c r="I109" s="32">
        <v>200000</v>
      </c>
      <c r="J109" s="32">
        <v>0</v>
      </c>
      <c r="K109" s="73">
        <v>0</v>
      </c>
      <c r="L109" s="65">
        <f t="shared" si="7"/>
        <v>200000</v>
      </c>
      <c r="M109" s="66">
        <v>0</v>
      </c>
      <c r="N109" s="142">
        <v>0</v>
      </c>
      <c r="O109" s="31">
        <v>0</v>
      </c>
    </row>
    <row r="110" spans="1:15" ht="18" customHeight="1">
      <c r="A110" s="424"/>
      <c r="B110" s="39" t="s">
        <v>461</v>
      </c>
      <c r="C110" s="427"/>
      <c r="D110" s="451"/>
      <c r="E110" s="445"/>
      <c r="F110" s="421"/>
      <c r="G110" s="62">
        <f t="shared" si="6"/>
        <v>286000</v>
      </c>
      <c r="H110" s="32">
        <f>SUM(H108:H109)</f>
        <v>0</v>
      </c>
      <c r="I110" s="32">
        <f>SUM(I108:I109)</f>
        <v>200000</v>
      </c>
      <c r="J110" s="32">
        <f>SUM(J108:J109)</f>
        <v>0</v>
      </c>
      <c r="K110" s="32">
        <f>SUM(K108:K109)</f>
        <v>86000</v>
      </c>
      <c r="L110" s="65">
        <f t="shared" si="7"/>
        <v>286000</v>
      </c>
      <c r="M110" s="66">
        <v>0</v>
      </c>
      <c r="N110" s="142">
        <v>0</v>
      </c>
      <c r="O110" s="31">
        <v>0</v>
      </c>
    </row>
    <row r="111" spans="1:15" ht="27" customHeight="1">
      <c r="A111" s="37"/>
      <c r="B111" s="3" t="s">
        <v>345</v>
      </c>
      <c r="C111" s="6" t="s">
        <v>346</v>
      </c>
      <c r="D111" s="6"/>
      <c r="E111" s="76"/>
      <c r="F111" s="19">
        <f>SUM(F112:F115)</f>
        <v>658</v>
      </c>
      <c r="G111" s="38">
        <f>SUM(H111:K111)</f>
        <v>658000</v>
      </c>
      <c r="H111" s="19">
        <f>SUM(H112:H115)</f>
        <v>10000</v>
      </c>
      <c r="I111" s="19">
        <f>SUM(I112:I115)</f>
        <v>648000</v>
      </c>
      <c r="J111" s="19">
        <f>SUM(J112:J115)</f>
        <v>0</v>
      </c>
      <c r="K111" s="19">
        <f>SUM(K112:K115)</f>
        <v>0</v>
      </c>
      <c r="L111" s="20">
        <f>G111+M111+N111+O111</f>
        <v>658000</v>
      </c>
      <c r="M111" s="19">
        <f>SUM(M112:M115)</f>
        <v>0</v>
      </c>
      <c r="N111" s="19">
        <f>SUM(N112:N115)</f>
        <v>0</v>
      </c>
      <c r="O111" s="19">
        <f>SUM(O112:O115)</f>
        <v>0</v>
      </c>
    </row>
    <row r="112" spans="1:15" ht="18.75" customHeight="1">
      <c r="A112" s="37" t="s">
        <v>278</v>
      </c>
      <c r="B112" s="22" t="s">
        <v>329</v>
      </c>
      <c r="C112" s="23" t="s">
        <v>463</v>
      </c>
      <c r="D112" s="34" t="s">
        <v>493</v>
      </c>
      <c r="E112" s="60">
        <v>2006</v>
      </c>
      <c r="F112" s="32">
        <v>28</v>
      </c>
      <c r="G112" s="25">
        <f>SUM(H112:K112)</f>
        <v>28000</v>
      </c>
      <c r="H112" s="97">
        <v>0</v>
      </c>
      <c r="I112" s="97">
        <v>28000</v>
      </c>
      <c r="J112" s="97">
        <v>0</v>
      </c>
      <c r="K112" s="98">
        <v>0</v>
      </c>
      <c r="L112" s="27">
        <f>G112+M112+N112+O112</f>
        <v>28000</v>
      </c>
      <c r="M112" s="99">
        <v>0</v>
      </c>
      <c r="N112" s="26">
        <v>0</v>
      </c>
      <c r="O112" s="24">
        <v>0</v>
      </c>
    </row>
    <row r="113" spans="1:70" s="245" customFormat="1" ht="18.75" customHeight="1">
      <c r="A113" s="246" t="s">
        <v>284</v>
      </c>
      <c r="B113" s="266" t="s">
        <v>329</v>
      </c>
      <c r="C113" s="268" t="s">
        <v>537</v>
      </c>
      <c r="D113" s="264" t="s">
        <v>493</v>
      </c>
      <c r="E113" s="277">
        <v>2006</v>
      </c>
      <c r="F113" s="256">
        <v>10</v>
      </c>
      <c r="G113" s="237">
        <f>SUM(H113:K113)</f>
        <v>10000</v>
      </c>
      <c r="H113" s="278">
        <v>10000</v>
      </c>
      <c r="I113" s="278">
        <v>0</v>
      </c>
      <c r="J113" s="278">
        <v>0</v>
      </c>
      <c r="K113" s="279">
        <v>0</v>
      </c>
      <c r="L113" s="240">
        <f>G113+M113+N113+O113</f>
        <v>10000</v>
      </c>
      <c r="M113" s="280">
        <v>0</v>
      </c>
      <c r="N113" s="236">
        <v>0</v>
      </c>
      <c r="O113" s="242">
        <v>0</v>
      </c>
      <c r="P113" s="243"/>
      <c r="Q113" s="243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</row>
    <row r="114" spans="1:15" ht="18.75" customHeight="1">
      <c r="A114" s="37" t="s">
        <v>280</v>
      </c>
      <c r="B114" s="22" t="s">
        <v>283</v>
      </c>
      <c r="C114" s="23" t="s">
        <v>459</v>
      </c>
      <c r="D114" s="34" t="s">
        <v>493</v>
      </c>
      <c r="E114" s="60">
        <v>2006</v>
      </c>
      <c r="F114" s="32">
        <v>400</v>
      </c>
      <c r="G114" s="25">
        <f>SUM(H114:K114)</f>
        <v>400000</v>
      </c>
      <c r="H114" s="97">
        <v>0</v>
      </c>
      <c r="I114" s="97">
        <v>400000</v>
      </c>
      <c r="J114" s="97">
        <v>0</v>
      </c>
      <c r="K114" s="98">
        <v>0</v>
      </c>
      <c r="L114" s="27">
        <f>G114+M114+N114+O114</f>
        <v>400000</v>
      </c>
      <c r="M114" s="99">
        <v>0</v>
      </c>
      <c r="N114" s="26">
        <v>0</v>
      </c>
      <c r="O114" s="24">
        <v>0</v>
      </c>
    </row>
    <row r="115" spans="1:15" ht="18.75" customHeight="1">
      <c r="A115" s="37" t="s">
        <v>282</v>
      </c>
      <c r="B115" s="22" t="s">
        <v>283</v>
      </c>
      <c r="C115" s="23" t="s">
        <v>460</v>
      </c>
      <c r="D115" s="34" t="s">
        <v>493</v>
      </c>
      <c r="E115" s="60">
        <v>2006</v>
      </c>
      <c r="F115" s="32">
        <v>220</v>
      </c>
      <c r="G115" s="25">
        <f>SUM(H115:K115)</f>
        <v>220000</v>
      </c>
      <c r="H115" s="97">
        <v>0</v>
      </c>
      <c r="I115" s="97">
        <v>220000</v>
      </c>
      <c r="J115" s="97">
        <v>0</v>
      </c>
      <c r="K115" s="98">
        <v>0</v>
      </c>
      <c r="L115" s="27">
        <f>G115+M115+N115+O115</f>
        <v>220000</v>
      </c>
      <c r="M115" s="99">
        <v>0</v>
      </c>
      <c r="N115" s="26">
        <v>0</v>
      </c>
      <c r="O115" s="24">
        <v>0</v>
      </c>
    </row>
    <row r="116" spans="1:15" ht="26.25" customHeight="1">
      <c r="A116" s="37"/>
      <c r="B116" s="3" t="s">
        <v>327</v>
      </c>
      <c r="C116" s="6" t="s">
        <v>328</v>
      </c>
      <c r="D116" s="6"/>
      <c r="E116" s="76"/>
      <c r="F116" s="19">
        <f>SUM(F117)</f>
        <v>200</v>
      </c>
      <c r="G116" s="38">
        <f t="shared" si="6"/>
        <v>230000</v>
      </c>
      <c r="H116" s="19">
        <f>SUM(H117:H118)</f>
        <v>0</v>
      </c>
      <c r="I116" s="19">
        <f>SUM(I117:I118)</f>
        <v>230000</v>
      </c>
      <c r="J116" s="19">
        <f>SUM(J117:J118)</f>
        <v>0</v>
      </c>
      <c r="K116" s="19">
        <f>SUM(K117:K118)</f>
        <v>0</v>
      </c>
      <c r="L116" s="20">
        <f t="shared" si="7"/>
        <v>230000</v>
      </c>
      <c r="M116" s="19">
        <f>SUM(M117:M118)</f>
        <v>0</v>
      </c>
      <c r="N116" s="19">
        <f>SUM(N117:N118)</f>
        <v>0</v>
      </c>
      <c r="O116" s="19">
        <f>SUM(O117:O118)</f>
        <v>0</v>
      </c>
    </row>
    <row r="117" spans="1:70" s="245" customFormat="1" ht="16.5" customHeight="1">
      <c r="A117" s="422" t="s">
        <v>278</v>
      </c>
      <c r="B117" s="281" t="s">
        <v>283</v>
      </c>
      <c r="C117" s="425" t="s">
        <v>479</v>
      </c>
      <c r="D117" s="450" t="s">
        <v>485</v>
      </c>
      <c r="E117" s="443">
        <v>2006</v>
      </c>
      <c r="F117" s="446">
        <v>200</v>
      </c>
      <c r="G117" s="237">
        <f t="shared" si="6"/>
        <v>130000</v>
      </c>
      <c r="H117" s="236">
        <v>0</v>
      </c>
      <c r="I117" s="236">
        <v>130000</v>
      </c>
      <c r="J117" s="236">
        <v>0</v>
      </c>
      <c r="K117" s="249">
        <v>0</v>
      </c>
      <c r="L117" s="240">
        <f t="shared" si="7"/>
        <v>130000</v>
      </c>
      <c r="M117" s="241">
        <v>0</v>
      </c>
      <c r="N117" s="236">
        <v>0</v>
      </c>
      <c r="O117" s="242">
        <v>0</v>
      </c>
      <c r="P117" s="243"/>
      <c r="Q117" s="243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</row>
    <row r="118" spans="1:15" ht="16.5" customHeight="1">
      <c r="A118" s="424"/>
      <c r="B118" s="22" t="s">
        <v>329</v>
      </c>
      <c r="C118" s="427"/>
      <c r="D118" s="451"/>
      <c r="E118" s="445"/>
      <c r="F118" s="421"/>
      <c r="G118" s="25">
        <f t="shared" si="6"/>
        <v>100000</v>
      </c>
      <c r="H118" s="32">
        <v>0</v>
      </c>
      <c r="I118" s="32">
        <v>100000</v>
      </c>
      <c r="J118" s="32">
        <v>0</v>
      </c>
      <c r="K118" s="73">
        <v>0</v>
      </c>
      <c r="L118" s="27">
        <f t="shared" si="7"/>
        <v>100000</v>
      </c>
      <c r="M118" s="66">
        <v>0</v>
      </c>
      <c r="N118" s="32">
        <v>0</v>
      </c>
      <c r="O118" s="31">
        <v>0</v>
      </c>
    </row>
    <row r="119" spans="1:15" ht="35.25" customHeight="1" thickBot="1">
      <c r="A119" s="104" t="s">
        <v>361</v>
      </c>
      <c r="B119" s="105" t="s">
        <v>362</v>
      </c>
      <c r="C119" s="106" t="s">
        <v>363</v>
      </c>
      <c r="D119" s="175"/>
      <c r="E119" s="107"/>
      <c r="F119" s="109">
        <f>SUM(F120:F131)</f>
        <v>40312</v>
      </c>
      <c r="G119" s="108">
        <f t="shared" si="6"/>
        <v>20524859</v>
      </c>
      <c r="H119" s="109">
        <f>SUM(H120:H131)</f>
        <v>200000</v>
      </c>
      <c r="I119" s="109">
        <f>SUM(I120:I131)</f>
        <v>9235500</v>
      </c>
      <c r="J119" s="109">
        <f>SUM(J120:J131)</f>
        <v>0</v>
      </c>
      <c r="K119" s="109">
        <f>SUM(K120:K131)</f>
        <v>11089359</v>
      </c>
      <c r="L119" s="110">
        <f t="shared" si="7"/>
        <v>20524859</v>
      </c>
      <c r="M119" s="109">
        <f>SUM(M120:M131)</f>
        <v>0</v>
      </c>
      <c r="N119" s="109">
        <f>SUM(N120:N131)</f>
        <v>0</v>
      </c>
      <c r="O119" s="109">
        <f>SUM(O120:O131)</f>
        <v>0</v>
      </c>
    </row>
    <row r="120" spans="1:15" ht="19.5" customHeight="1">
      <c r="A120" s="133"/>
      <c r="B120" s="95" t="str">
        <f>RIGHT(B132,5)</f>
        <v>60015</v>
      </c>
      <c r="C120" s="30" t="s">
        <v>364</v>
      </c>
      <c r="D120" s="34"/>
      <c r="E120" s="60"/>
      <c r="F120" s="32">
        <f>F132</f>
        <v>36016</v>
      </c>
      <c r="G120" s="62">
        <f t="shared" si="6"/>
        <v>18108859</v>
      </c>
      <c r="H120" s="32">
        <f>H132</f>
        <v>200000</v>
      </c>
      <c r="I120" s="32">
        <f>I132</f>
        <v>6851500</v>
      </c>
      <c r="J120" s="32">
        <f>J132</f>
        <v>0</v>
      </c>
      <c r="K120" s="32">
        <f>K132</f>
        <v>11057359</v>
      </c>
      <c r="L120" s="65">
        <f t="shared" si="7"/>
        <v>18108859</v>
      </c>
      <c r="M120" s="111">
        <f>M132</f>
        <v>0</v>
      </c>
      <c r="N120" s="62">
        <f>N132</f>
        <v>0</v>
      </c>
      <c r="O120" s="31">
        <f>O132</f>
        <v>0</v>
      </c>
    </row>
    <row r="121" spans="1:15" ht="19.5" customHeight="1">
      <c r="A121" s="133"/>
      <c r="B121" s="95" t="str">
        <f>RIGHT(B150,5)</f>
        <v>71015</v>
      </c>
      <c r="C121" s="23" t="s">
        <v>457</v>
      </c>
      <c r="D121" s="34"/>
      <c r="E121" s="60"/>
      <c r="F121" s="32">
        <f>F150</f>
        <v>5</v>
      </c>
      <c r="G121" s="62">
        <f t="shared" si="6"/>
        <v>5000</v>
      </c>
      <c r="H121" s="32">
        <f>H150</f>
        <v>0</v>
      </c>
      <c r="I121" s="32">
        <f>I150</f>
        <v>0</v>
      </c>
      <c r="J121" s="32">
        <f>J150</f>
        <v>0</v>
      </c>
      <c r="K121" s="32">
        <f>K150</f>
        <v>5000</v>
      </c>
      <c r="L121" s="65">
        <f t="shared" si="7"/>
        <v>5000</v>
      </c>
      <c r="M121" s="32">
        <f>M150</f>
        <v>0</v>
      </c>
      <c r="N121" s="32">
        <f>N150</f>
        <v>0</v>
      </c>
      <c r="O121" s="32">
        <f>O150</f>
        <v>0</v>
      </c>
    </row>
    <row r="122" spans="1:15" ht="19.5" customHeight="1">
      <c r="A122" s="133"/>
      <c r="B122" s="95" t="str">
        <f>RIGHT(B152,5)</f>
        <v>75411</v>
      </c>
      <c r="C122" s="23" t="s">
        <v>458</v>
      </c>
      <c r="D122" s="34"/>
      <c r="E122" s="60"/>
      <c r="F122" s="32">
        <f>F152</f>
        <v>27</v>
      </c>
      <c r="G122" s="62">
        <f>SUM(H122:K122)</f>
        <v>27000</v>
      </c>
      <c r="H122" s="32">
        <f>H152</f>
        <v>0</v>
      </c>
      <c r="I122" s="32">
        <f>I152</f>
        <v>0</v>
      </c>
      <c r="J122" s="32">
        <f>J152</f>
        <v>0</v>
      </c>
      <c r="K122" s="32">
        <f>K152</f>
        <v>27000</v>
      </c>
      <c r="L122" s="65">
        <f>G122+M122+N122+O122</f>
        <v>27000</v>
      </c>
      <c r="M122" s="32">
        <f>M152</f>
        <v>0</v>
      </c>
      <c r="N122" s="32">
        <f>N152</f>
        <v>0</v>
      </c>
      <c r="O122" s="32">
        <f>O152</f>
        <v>0</v>
      </c>
    </row>
    <row r="123" spans="1:15" ht="19.5" customHeight="1">
      <c r="A123" s="134"/>
      <c r="B123" s="22" t="str">
        <f>RIGHT(B154,5)</f>
        <v>80130</v>
      </c>
      <c r="C123" s="23" t="s">
        <v>365</v>
      </c>
      <c r="D123" s="3"/>
      <c r="E123" s="68"/>
      <c r="F123" s="26">
        <f>F154</f>
        <v>100</v>
      </c>
      <c r="G123" s="25">
        <f>SUM(H123:K123)</f>
        <v>100000</v>
      </c>
      <c r="H123" s="26">
        <f>H154</f>
        <v>0</v>
      </c>
      <c r="I123" s="26">
        <f>I154</f>
        <v>100000</v>
      </c>
      <c r="J123" s="26">
        <f>J154</f>
        <v>0</v>
      </c>
      <c r="K123" s="26">
        <f>K154</f>
        <v>0</v>
      </c>
      <c r="L123" s="65">
        <f>G123+M123+N123+O123</f>
        <v>100000</v>
      </c>
      <c r="M123" s="26">
        <f>M154</f>
        <v>0</v>
      </c>
      <c r="N123" s="26">
        <f>N154</f>
        <v>0</v>
      </c>
      <c r="O123" s="26">
        <f>O154</f>
        <v>0</v>
      </c>
    </row>
    <row r="124" spans="1:15" ht="19.5" customHeight="1">
      <c r="A124" s="134"/>
      <c r="B124" s="22" t="str">
        <f>RIGHT(B156,5)</f>
        <v>85111</v>
      </c>
      <c r="C124" s="23" t="s">
        <v>466</v>
      </c>
      <c r="D124" s="3"/>
      <c r="E124" s="68"/>
      <c r="F124" s="28">
        <f>F156</f>
        <v>50</v>
      </c>
      <c r="G124" s="25">
        <f>SUM(H124:K124)</f>
        <v>50000</v>
      </c>
      <c r="H124" s="28">
        <f>H156</f>
        <v>0</v>
      </c>
      <c r="I124" s="28">
        <f>I156</f>
        <v>50000</v>
      </c>
      <c r="J124" s="28">
        <f>J156</f>
        <v>0</v>
      </c>
      <c r="K124" s="28">
        <f>K156</f>
        <v>0</v>
      </c>
      <c r="L124" s="65">
        <f>G124+M124+N124+O124</f>
        <v>50000</v>
      </c>
      <c r="M124" s="28">
        <f>M156</f>
        <v>0</v>
      </c>
      <c r="N124" s="28">
        <f>N156</f>
        <v>0</v>
      </c>
      <c r="O124" s="26">
        <f>O156</f>
        <v>0</v>
      </c>
    </row>
    <row r="125" spans="1:15" ht="19.5" customHeight="1">
      <c r="A125" s="134"/>
      <c r="B125" s="22" t="str">
        <f>RIGHT(B158,5)</f>
        <v>85201</v>
      </c>
      <c r="C125" s="23" t="s">
        <v>366</v>
      </c>
      <c r="D125" s="3"/>
      <c r="E125" s="68"/>
      <c r="F125" s="28">
        <f>F158</f>
        <v>10</v>
      </c>
      <c r="G125" s="25">
        <f t="shared" si="6"/>
        <v>10000</v>
      </c>
      <c r="H125" s="28">
        <f>H158</f>
        <v>0</v>
      </c>
      <c r="I125" s="28">
        <f>I158</f>
        <v>10000</v>
      </c>
      <c r="J125" s="28">
        <f>J158</f>
        <v>0</v>
      </c>
      <c r="K125" s="28">
        <f>K158</f>
        <v>0</v>
      </c>
      <c r="L125" s="65">
        <f t="shared" si="7"/>
        <v>10000</v>
      </c>
      <c r="M125" s="28">
        <f>M158</f>
        <v>0</v>
      </c>
      <c r="N125" s="28">
        <f>N158</f>
        <v>0</v>
      </c>
      <c r="O125" s="26">
        <f>O158</f>
        <v>0</v>
      </c>
    </row>
    <row r="126" spans="1:15" ht="19.5" customHeight="1">
      <c r="A126" s="134"/>
      <c r="B126" s="22" t="str">
        <f>RIGHT(B160,5)</f>
        <v>85202</v>
      </c>
      <c r="C126" s="23" t="s">
        <v>267</v>
      </c>
      <c r="D126" s="3"/>
      <c r="E126" s="68"/>
      <c r="F126" s="28">
        <f>F160</f>
        <v>70</v>
      </c>
      <c r="G126" s="25">
        <f t="shared" si="6"/>
        <v>70000</v>
      </c>
      <c r="H126" s="28">
        <f>H160</f>
        <v>0</v>
      </c>
      <c r="I126" s="28">
        <f>I160</f>
        <v>70000</v>
      </c>
      <c r="J126" s="28">
        <f>J160</f>
        <v>0</v>
      </c>
      <c r="K126" s="28">
        <f>K160</f>
        <v>0</v>
      </c>
      <c r="L126" s="65">
        <f t="shared" si="7"/>
        <v>70000</v>
      </c>
      <c r="M126" s="28">
        <f>M160</f>
        <v>0</v>
      </c>
      <c r="N126" s="28">
        <f>N160</f>
        <v>0</v>
      </c>
      <c r="O126" s="26">
        <f>O160</f>
        <v>0</v>
      </c>
    </row>
    <row r="127" spans="1:15" ht="19.5" customHeight="1">
      <c r="A127" s="133"/>
      <c r="B127" s="22" t="str">
        <f>RIGHT(B162,5)</f>
        <v>85410</v>
      </c>
      <c r="C127" s="30" t="s">
        <v>367</v>
      </c>
      <c r="D127" s="34"/>
      <c r="E127" s="60"/>
      <c r="F127" s="73">
        <f>F162</f>
        <v>1020</v>
      </c>
      <c r="G127" s="25">
        <f t="shared" si="6"/>
        <v>500000</v>
      </c>
      <c r="H127" s="73">
        <f>H162</f>
        <v>0</v>
      </c>
      <c r="I127" s="73">
        <f>I162</f>
        <v>500000</v>
      </c>
      <c r="J127" s="73">
        <f>J162</f>
        <v>0</v>
      </c>
      <c r="K127" s="73">
        <f>K162</f>
        <v>0</v>
      </c>
      <c r="L127" s="65">
        <f t="shared" si="7"/>
        <v>500000</v>
      </c>
      <c r="M127" s="73">
        <f>M162</f>
        <v>0</v>
      </c>
      <c r="N127" s="73">
        <f>N162</f>
        <v>0</v>
      </c>
      <c r="O127" s="32">
        <f>O162</f>
        <v>0</v>
      </c>
    </row>
    <row r="128" spans="1:15" ht="19.5" customHeight="1">
      <c r="A128" s="133"/>
      <c r="B128" s="22" t="str">
        <f>RIGHT(B164,5)</f>
        <v>90095</v>
      </c>
      <c r="C128" s="30" t="s">
        <v>272</v>
      </c>
      <c r="D128" s="34"/>
      <c r="E128" s="60"/>
      <c r="F128" s="73">
        <f>F165</f>
        <v>2860</v>
      </c>
      <c r="G128" s="25">
        <f t="shared" si="6"/>
        <v>1500000</v>
      </c>
      <c r="H128" s="73">
        <f aca="true" t="shared" si="8" ref="H128:K129">H165</f>
        <v>0</v>
      </c>
      <c r="I128" s="73">
        <f t="shared" si="8"/>
        <v>1500000</v>
      </c>
      <c r="J128" s="73">
        <f t="shared" si="8"/>
        <v>0</v>
      </c>
      <c r="K128" s="73">
        <f t="shared" si="8"/>
        <v>0</v>
      </c>
      <c r="L128" s="65">
        <f t="shared" si="7"/>
        <v>1500000</v>
      </c>
      <c r="M128" s="73">
        <f aca="true" t="shared" si="9" ref="M128:O129">M165</f>
        <v>0</v>
      </c>
      <c r="N128" s="73">
        <f t="shared" si="9"/>
        <v>0</v>
      </c>
      <c r="O128" s="32">
        <f t="shared" si="9"/>
        <v>0</v>
      </c>
    </row>
    <row r="129" spans="1:15" ht="19.5" customHeight="1">
      <c r="A129" s="129"/>
      <c r="B129" s="22" t="str">
        <f>RIGHT(B166,5)</f>
        <v>92116</v>
      </c>
      <c r="C129" s="23" t="s">
        <v>411</v>
      </c>
      <c r="D129" s="3"/>
      <c r="E129" s="24"/>
      <c r="F129" s="26">
        <f>F166</f>
        <v>40</v>
      </c>
      <c r="G129" s="25">
        <f t="shared" si="6"/>
        <v>40000</v>
      </c>
      <c r="H129" s="26">
        <f t="shared" si="8"/>
        <v>0</v>
      </c>
      <c r="I129" s="26">
        <f t="shared" si="8"/>
        <v>40000</v>
      </c>
      <c r="J129" s="26">
        <f t="shared" si="8"/>
        <v>0</v>
      </c>
      <c r="K129" s="26">
        <f t="shared" si="8"/>
        <v>0</v>
      </c>
      <c r="L129" s="27">
        <f>G129+M129+N129+O129</f>
        <v>40000</v>
      </c>
      <c r="M129" s="26">
        <f t="shared" si="9"/>
        <v>0</v>
      </c>
      <c r="N129" s="26">
        <f t="shared" si="9"/>
        <v>0</v>
      </c>
      <c r="O129" s="26">
        <f t="shared" si="9"/>
        <v>0</v>
      </c>
    </row>
    <row r="130" spans="1:15" ht="19.5" customHeight="1">
      <c r="A130" s="129"/>
      <c r="B130" s="22" t="str">
        <f>RIGHT(B168,5)</f>
        <v>92118</v>
      </c>
      <c r="C130" s="23" t="s">
        <v>410</v>
      </c>
      <c r="D130" s="3"/>
      <c r="E130" s="24"/>
      <c r="F130" s="26">
        <f>F168</f>
        <v>14</v>
      </c>
      <c r="G130" s="25">
        <f t="shared" si="6"/>
        <v>14000</v>
      </c>
      <c r="H130" s="26">
        <f>H168</f>
        <v>0</v>
      </c>
      <c r="I130" s="26">
        <f>I168</f>
        <v>14000</v>
      </c>
      <c r="J130" s="26">
        <f>J168</f>
        <v>0</v>
      </c>
      <c r="K130" s="26">
        <f>K168</f>
        <v>0</v>
      </c>
      <c r="L130" s="27">
        <f>G130+M130+N130+O130</f>
        <v>14000</v>
      </c>
      <c r="M130" s="26">
        <f>M168</f>
        <v>0</v>
      </c>
      <c r="N130" s="26">
        <f>N168</f>
        <v>0</v>
      </c>
      <c r="O130" s="26">
        <f>O168</f>
        <v>0</v>
      </c>
    </row>
    <row r="131" spans="1:15" ht="19.5" customHeight="1">
      <c r="A131" s="133"/>
      <c r="B131" s="22" t="str">
        <f>RIGHT(B171,5)</f>
        <v>92195</v>
      </c>
      <c r="C131" s="30" t="s">
        <v>482</v>
      </c>
      <c r="D131" s="34"/>
      <c r="E131" s="60"/>
      <c r="F131" s="73">
        <f>F171</f>
        <v>100</v>
      </c>
      <c r="G131" s="25">
        <f t="shared" si="6"/>
        <v>100000</v>
      </c>
      <c r="H131" s="73">
        <f>H171</f>
        <v>0</v>
      </c>
      <c r="I131" s="73">
        <f>I171</f>
        <v>100000</v>
      </c>
      <c r="J131" s="73">
        <f>J171</f>
        <v>0</v>
      </c>
      <c r="K131" s="73">
        <f>K171</f>
        <v>0</v>
      </c>
      <c r="L131" s="65">
        <f>G131+M131+N131+O131</f>
        <v>100000</v>
      </c>
      <c r="M131" s="73">
        <f>M171</f>
        <v>0</v>
      </c>
      <c r="N131" s="73">
        <f>N171</f>
        <v>0</v>
      </c>
      <c r="O131" s="32">
        <f>O171</f>
        <v>0</v>
      </c>
    </row>
    <row r="132" spans="1:15" ht="31.5" customHeight="1">
      <c r="A132" s="6"/>
      <c r="B132" s="3" t="s">
        <v>368</v>
      </c>
      <c r="C132" s="6" t="s">
        <v>369</v>
      </c>
      <c r="D132" s="6"/>
      <c r="E132" s="96"/>
      <c r="F132" s="11">
        <f>F133+F136+F139+F140+F143+F144+F145+F146+F147+F148+F149</f>
        <v>36016</v>
      </c>
      <c r="G132" s="38">
        <f t="shared" si="6"/>
        <v>18108859</v>
      </c>
      <c r="H132" s="11">
        <f>H135+H138+H139+H142+H143+H144+H145+H147+H148+H149+H146</f>
        <v>200000</v>
      </c>
      <c r="I132" s="11">
        <f>I135+I138+I139+I142+I143+I144+I145+I147+I148+I149+I146</f>
        <v>6851500</v>
      </c>
      <c r="J132" s="11">
        <f>J135+J138+J139+J142+J143+J144+J145+J147+J148+J149+J146</f>
        <v>0</v>
      </c>
      <c r="K132" s="11">
        <f>K135+K138+K139+K142+K143+K144+K145+K147+K148+K149+K146</f>
        <v>11057359</v>
      </c>
      <c r="L132" s="36">
        <f t="shared" si="7"/>
        <v>18108859</v>
      </c>
      <c r="M132" s="11">
        <f>M135+M138+M139+M142+M143+M144+M145+M147+M148+M149+M146</f>
        <v>0</v>
      </c>
      <c r="N132" s="11">
        <f>N135+N138+N139+N142+N143+N144+N145+N147+N148+N149+N146</f>
        <v>0</v>
      </c>
      <c r="O132" s="11">
        <f>O135+O138+O139+O142+O143+O144+O145+O147+O148+O149+O146</f>
        <v>0</v>
      </c>
    </row>
    <row r="133" spans="1:15" ht="17.25" customHeight="1">
      <c r="A133" s="434" t="s">
        <v>278</v>
      </c>
      <c r="B133" s="39" t="s">
        <v>319</v>
      </c>
      <c r="C133" s="425" t="s">
        <v>474</v>
      </c>
      <c r="D133" s="450" t="s">
        <v>485</v>
      </c>
      <c r="E133" s="443" t="s">
        <v>440</v>
      </c>
      <c r="F133" s="446">
        <f>143+100+7195+7673</f>
        <v>15111</v>
      </c>
      <c r="G133" s="25">
        <f t="shared" si="6"/>
        <v>5396000</v>
      </c>
      <c r="H133" s="69">
        <v>0</v>
      </c>
      <c r="I133" s="69">
        <v>0</v>
      </c>
      <c r="J133" s="69">
        <v>0</v>
      </c>
      <c r="K133" s="70">
        <v>5396000</v>
      </c>
      <c r="L133" s="27">
        <f t="shared" si="7"/>
        <v>5396000</v>
      </c>
      <c r="M133" s="71">
        <v>0</v>
      </c>
      <c r="N133" s="26">
        <v>0</v>
      </c>
      <c r="O133" s="24">
        <v>0</v>
      </c>
    </row>
    <row r="134" spans="1:15" ht="17.25" customHeight="1">
      <c r="A134" s="435"/>
      <c r="B134" s="39" t="s">
        <v>370</v>
      </c>
      <c r="C134" s="426"/>
      <c r="D134" s="428"/>
      <c r="E134" s="444"/>
      <c r="F134" s="420"/>
      <c r="G134" s="25">
        <f t="shared" si="6"/>
        <v>1799000</v>
      </c>
      <c r="H134" s="69">
        <v>0</v>
      </c>
      <c r="I134" s="69">
        <v>1799000</v>
      </c>
      <c r="J134" s="69">
        <v>0</v>
      </c>
      <c r="K134" s="70">
        <v>0</v>
      </c>
      <c r="L134" s="27">
        <f t="shared" si="7"/>
        <v>1799000</v>
      </c>
      <c r="M134" s="71">
        <v>0</v>
      </c>
      <c r="N134" s="26">
        <v>0</v>
      </c>
      <c r="O134" s="24">
        <v>0</v>
      </c>
    </row>
    <row r="135" spans="1:15" ht="17.25" customHeight="1">
      <c r="A135" s="436"/>
      <c r="B135" s="39" t="s">
        <v>461</v>
      </c>
      <c r="C135" s="427"/>
      <c r="D135" s="451"/>
      <c r="E135" s="445"/>
      <c r="F135" s="421"/>
      <c r="G135" s="25">
        <f t="shared" si="6"/>
        <v>7195000</v>
      </c>
      <c r="H135" s="69">
        <f>SUM(H133:H134)</f>
        <v>0</v>
      </c>
      <c r="I135" s="69">
        <f>SUM(I133:I134)</f>
        <v>1799000</v>
      </c>
      <c r="J135" s="69">
        <f>SUM(J133:J134)</f>
        <v>0</v>
      </c>
      <c r="K135" s="69">
        <f>SUM(K133:K134)</f>
        <v>5396000</v>
      </c>
      <c r="L135" s="27">
        <f t="shared" si="7"/>
        <v>7195000</v>
      </c>
      <c r="M135" s="71">
        <v>0</v>
      </c>
      <c r="N135" s="26">
        <v>0</v>
      </c>
      <c r="O135" s="24">
        <v>0</v>
      </c>
    </row>
    <row r="136" spans="1:15" ht="17.25" customHeight="1">
      <c r="A136" s="422" t="s">
        <v>280</v>
      </c>
      <c r="B136" s="39" t="s">
        <v>319</v>
      </c>
      <c r="C136" s="425" t="s">
        <v>470</v>
      </c>
      <c r="D136" s="450" t="s">
        <v>485</v>
      </c>
      <c r="E136" s="443" t="s">
        <v>436</v>
      </c>
      <c r="F136" s="446">
        <f>185+3284+3587+1129</f>
        <v>8185</v>
      </c>
      <c r="G136" s="25">
        <f>SUM(H136:K136)</f>
        <v>2300000</v>
      </c>
      <c r="H136" s="97">
        <v>0</v>
      </c>
      <c r="I136" s="97">
        <v>0</v>
      </c>
      <c r="J136" s="97">
        <v>0</v>
      </c>
      <c r="K136" s="98">
        <v>2300000</v>
      </c>
      <c r="L136" s="27">
        <f>G136+M136+N136+O136</f>
        <v>2300000</v>
      </c>
      <c r="M136" s="99">
        <v>0</v>
      </c>
      <c r="N136" s="26">
        <v>0</v>
      </c>
      <c r="O136" s="24">
        <v>0</v>
      </c>
    </row>
    <row r="137" spans="1:15" ht="17.25" customHeight="1">
      <c r="A137" s="423"/>
      <c r="B137" s="39" t="s">
        <v>370</v>
      </c>
      <c r="C137" s="426"/>
      <c r="D137" s="428"/>
      <c r="E137" s="444"/>
      <c r="F137" s="420"/>
      <c r="G137" s="25">
        <f>SUM(H137:K137)</f>
        <v>984000</v>
      </c>
      <c r="H137" s="97">
        <v>0</v>
      </c>
      <c r="I137" s="97">
        <v>984000</v>
      </c>
      <c r="J137" s="97">
        <v>0</v>
      </c>
      <c r="K137" s="98">
        <v>0</v>
      </c>
      <c r="L137" s="27">
        <f>G137+M137+N137+O137</f>
        <v>984000</v>
      </c>
      <c r="M137" s="99">
        <v>0</v>
      </c>
      <c r="N137" s="26">
        <v>0</v>
      </c>
      <c r="O137" s="24">
        <v>0</v>
      </c>
    </row>
    <row r="138" spans="1:15" ht="17.25" customHeight="1">
      <c r="A138" s="424"/>
      <c r="B138" s="39" t="s">
        <v>461</v>
      </c>
      <c r="C138" s="427"/>
      <c r="D138" s="451"/>
      <c r="E138" s="445"/>
      <c r="F138" s="421"/>
      <c r="G138" s="25">
        <f>SUM(H138:K138)</f>
        <v>3284000</v>
      </c>
      <c r="H138" s="97">
        <f>SUM(H136:H137)</f>
        <v>0</v>
      </c>
      <c r="I138" s="97">
        <f>SUM(I136:I137)</f>
        <v>984000</v>
      </c>
      <c r="J138" s="97">
        <f>SUM(J136:J137)</f>
        <v>0</v>
      </c>
      <c r="K138" s="97">
        <f>SUM(K136:K137)</f>
        <v>2300000</v>
      </c>
      <c r="L138" s="27">
        <f>G138+M138+N138+O138</f>
        <v>3284000</v>
      </c>
      <c r="M138" s="99">
        <v>0</v>
      </c>
      <c r="N138" s="26">
        <v>0</v>
      </c>
      <c r="O138" s="24">
        <v>0</v>
      </c>
    </row>
    <row r="139" spans="1:15" ht="24.75" customHeight="1">
      <c r="A139" s="37" t="s">
        <v>282</v>
      </c>
      <c r="B139" s="39" t="s">
        <v>283</v>
      </c>
      <c r="C139" s="23" t="s">
        <v>441</v>
      </c>
      <c r="D139" s="3" t="s">
        <v>485</v>
      </c>
      <c r="E139" s="68" t="s">
        <v>433</v>
      </c>
      <c r="F139" s="26">
        <f>165+2500</f>
        <v>2665</v>
      </c>
      <c r="G139" s="25">
        <f t="shared" si="6"/>
        <v>2500000</v>
      </c>
      <c r="H139" s="97">
        <v>0</v>
      </c>
      <c r="I139" s="97">
        <v>2500000</v>
      </c>
      <c r="J139" s="97">
        <v>0</v>
      </c>
      <c r="K139" s="98">
        <v>0</v>
      </c>
      <c r="L139" s="27">
        <f t="shared" si="7"/>
        <v>2500000</v>
      </c>
      <c r="M139" s="99">
        <v>0</v>
      </c>
      <c r="N139" s="26">
        <v>0</v>
      </c>
      <c r="O139" s="24">
        <v>0</v>
      </c>
    </row>
    <row r="140" spans="1:70" s="245" customFormat="1" ht="17.25" customHeight="1">
      <c r="A140" s="434" t="s">
        <v>284</v>
      </c>
      <c r="B140" s="232" t="s">
        <v>319</v>
      </c>
      <c r="C140" s="425" t="s">
        <v>371</v>
      </c>
      <c r="D140" s="450" t="s">
        <v>485</v>
      </c>
      <c r="E140" s="443" t="s">
        <v>432</v>
      </c>
      <c r="F140" s="446">
        <f>248+1221+2677</f>
        <v>4146</v>
      </c>
      <c r="G140" s="282">
        <f t="shared" si="6"/>
        <v>2227359</v>
      </c>
      <c r="H140" s="283">
        <v>0</v>
      </c>
      <c r="I140" s="283">
        <v>400000</v>
      </c>
      <c r="J140" s="283">
        <v>0</v>
      </c>
      <c r="K140" s="284">
        <v>1827359</v>
      </c>
      <c r="L140" s="285">
        <f t="shared" si="7"/>
        <v>2227359</v>
      </c>
      <c r="M140" s="286">
        <v>0</v>
      </c>
      <c r="N140" s="256">
        <v>0</v>
      </c>
      <c r="O140" s="257">
        <v>0</v>
      </c>
      <c r="P140" s="243"/>
      <c r="Q140" s="243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</row>
    <row r="141" spans="1:15" ht="17.25" customHeight="1">
      <c r="A141" s="435"/>
      <c r="B141" s="39" t="s">
        <v>370</v>
      </c>
      <c r="C141" s="426"/>
      <c r="D141" s="428"/>
      <c r="E141" s="444"/>
      <c r="F141" s="420"/>
      <c r="G141" s="62">
        <f t="shared" si="6"/>
        <v>850000</v>
      </c>
      <c r="H141" s="100">
        <v>0</v>
      </c>
      <c r="I141" s="100">
        <v>850000</v>
      </c>
      <c r="J141" s="100">
        <v>0</v>
      </c>
      <c r="K141" s="101">
        <v>0</v>
      </c>
      <c r="L141" s="65">
        <f>G141+M141+N141+O141</f>
        <v>850000</v>
      </c>
      <c r="M141" s="102">
        <v>0</v>
      </c>
      <c r="N141" s="32">
        <v>0</v>
      </c>
      <c r="O141" s="31">
        <v>0</v>
      </c>
    </row>
    <row r="142" spans="1:15" ht="17.25" customHeight="1">
      <c r="A142" s="436"/>
      <c r="B142" s="39" t="s">
        <v>461</v>
      </c>
      <c r="C142" s="427"/>
      <c r="D142" s="451"/>
      <c r="E142" s="445"/>
      <c r="F142" s="421"/>
      <c r="G142" s="62">
        <f t="shared" si="6"/>
        <v>3077359</v>
      </c>
      <c r="H142" s="100">
        <f>SUM(H140:H141)</f>
        <v>0</v>
      </c>
      <c r="I142" s="100">
        <f>SUM(I140:I141)</f>
        <v>1250000</v>
      </c>
      <c r="J142" s="100">
        <f>SUM(J140:J141)</f>
        <v>0</v>
      </c>
      <c r="K142" s="100">
        <f>SUM(K140:K141)</f>
        <v>1827359</v>
      </c>
      <c r="L142" s="65">
        <f>G142+M142+N142+O142</f>
        <v>3077359</v>
      </c>
      <c r="M142" s="102">
        <v>0</v>
      </c>
      <c r="N142" s="32">
        <v>0</v>
      </c>
      <c r="O142" s="31">
        <v>0</v>
      </c>
    </row>
    <row r="143" spans="1:17" s="132" customFormat="1" ht="27.75" customHeight="1">
      <c r="A143" s="67" t="s">
        <v>286</v>
      </c>
      <c r="B143" s="39" t="s">
        <v>283</v>
      </c>
      <c r="C143" s="23" t="s">
        <v>379</v>
      </c>
      <c r="D143" s="3" t="s">
        <v>485</v>
      </c>
      <c r="E143" s="68" t="s">
        <v>434</v>
      </c>
      <c r="F143" s="26">
        <f>476+150+2060</f>
        <v>2686</v>
      </c>
      <c r="G143" s="25">
        <f t="shared" si="6"/>
        <v>150000</v>
      </c>
      <c r="H143" s="69">
        <v>0</v>
      </c>
      <c r="I143" s="69">
        <v>150000</v>
      </c>
      <c r="J143" s="69">
        <v>0</v>
      </c>
      <c r="K143" s="70">
        <v>0</v>
      </c>
      <c r="L143" s="27">
        <f t="shared" si="7"/>
        <v>150000</v>
      </c>
      <c r="M143" s="71">
        <v>0</v>
      </c>
      <c r="N143" s="26">
        <v>0</v>
      </c>
      <c r="O143" s="24">
        <v>0</v>
      </c>
      <c r="P143" s="185"/>
      <c r="Q143" s="185"/>
    </row>
    <row r="144" spans="1:15" ht="26.25" customHeight="1">
      <c r="A144" s="67" t="s">
        <v>287</v>
      </c>
      <c r="B144" s="39" t="s">
        <v>319</v>
      </c>
      <c r="C144" s="23" t="s">
        <v>381</v>
      </c>
      <c r="D144" s="3" t="s">
        <v>485</v>
      </c>
      <c r="E144" s="68" t="s">
        <v>432</v>
      </c>
      <c r="F144" s="26">
        <f>21+800+1534</f>
        <v>2355</v>
      </c>
      <c r="G144" s="25">
        <f t="shared" si="6"/>
        <v>1534000</v>
      </c>
      <c r="H144" s="69">
        <v>0</v>
      </c>
      <c r="I144" s="69">
        <v>0</v>
      </c>
      <c r="J144" s="69">
        <v>0</v>
      </c>
      <c r="K144" s="70">
        <v>1534000</v>
      </c>
      <c r="L144" s="27">
        <f t="shared" si="7"/>
        <v>1534000</v>
      </c>
      <c r="M144" s="71">
        <v>0</v>
      </c>
      <c r="N144" s="26">
        <v>0</v>
      </c>
      <c r="O144" s="24">
        <v>0</v>
      </c>
    </row>
    <row r="145" spans="1:70" s="219" customFormat="1" ht="39" customHeight="1">
      <c r="A145" s="205" t="s">
        <v>288</v>
      </c>
      <c r="B145" s="206" t="s">
        <v>283</v>
      </c>
      <c r="C145" s="220" t="s">
        <v>464</v>
      </c>
      <c r="D145" s="221" t="s">
        <v>485</v>
      </c>
      <c r="E145" s="222">
        <v>2006</v>
      </c>
      <c r="F145" s="223">
        <v>700</v>
      </c>
      <c r="G145" s="224">
        <f t="shared" si="6"/>
        <v>200000</v>
      </c>
      <c r="H145" s="225">
        <v>200000</v>
      </c>
      <c r="I145" s="225"/>
      <c r="J145" s="225"/>
      <c r="K145" s="226">
        <v>0</v>
      </c>
      <c r="L145" s="227">
        <f>G145+M145+N145+O145</f>
        <v>200000</v>
      </c>
      <c r="M145" s="228">
        <v>0</v>
      </c>
      <c r="N145" s="229">
        <v>0</v>
      </c>
      <c r="O145" s="230">
        <v>0</v>
      </c>
      <c r="P145" s="217"/>
      <c r="Q145" s="217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</row>
    <row r="146" spans="1:15" ht="32.25" customHeight="1">
      <c r="A146" s="67" t="s">
        <v>290</v>
      </c>
      <c r="B146" s="39" t="s">
        <v>283</v>
      </c>
      <c r="C146" s="23" t="s">
        <v>428</v>
      </c>
      <c r="D146" s="3" t="s">
        <v>485</v>
      </c>
      <c r="E146" s="68">
        <v>2006</v>
      </c>
      <c r="F146" s="26">
        <v>50</v>
      </c>
      <c r="G146" s="25">
        <f t="shared" si="6"/>
        <v>50000</v>
      </c>
      <c r="H146" s="69">
        <v>0</v>
      </c>
      <c r="I146" s="69">
        <v>50000</v>
      </c>
      <c r="J146" s="69">
        <v>0</v>
      </c>
      <c r="K146" s="70">
        <v>0</v>
      </c>
      <c r="L146" s="27">
        <f>G146+M146+N146+O146</f>
        <v>50000</v>
      </c>
      <c r="M146" s="71">
        <v>0</v>
      </c>
      <c r="N146" s="26">
        <v>0</v>
      </c>
      <c r="O146" s="24">
        <v>0</v>
      </c>
    </row>
    <row r="147" spans="1:15" ht="24.75" customHeight="1">
      <c r="A147" s="37" t="s">
        <v>291</v>
      </c>
      <c r="B147" s="22" t="s">
        <v>329</v>
      </c>
      <c r="C147" s="23" t="s">
        <v>398</v>
      </c>
      <c r="D147" s="34" t="s">
        <v>484</v>
      </c>
      <c r="E147" s="68">
        <v>2006</v>
      </c>
      <c r="F147" s="26">
        <v>16</v>
      </c>
      <c r="G147" s="25">
        <f t="shared" si="6"/>
        <v>16500</v>
      </c>
      <c r="H147" s="97">
        <v>0</v>
      </c>
      <c r="I147" s="97">
        <v>16500</v>
      </c>
      <c r="J147" s="97">
        <v>0</v>
      </c>
      <c r="K147" s="98">
        <v>0</v>
      </c>
      <c r="L147" s="27">
        <f t="shared" si="7"/>
        <v>16500</v>
      </c>
      <c r="M147" s="99">
        <v>0</v>
      </c>
      <c r="N147" s="26">
        <v>0</v>
      </c>
      <c r="O147" s="24">
        <v>0</v>
      </c>
    </row>
    <row r="148" spans="1:15" ht="28.5" customHeight="1">
      <c r="A148" s="67" t="s">
        <v>293</v>
      </c>
      <c r="B148" s="22" t="s">
        <v>329</v>
      </c>
      <c r="C148" s="23" t="s">
        <v>399</v>
      </c>
      <c r="D148" s="34" t="s">
        <v>484</v>
      </c>
      <c r="E148" s="68">
        <v>2006</v>
      </c>
      <c r="F148" s="26">
        <v>62</v>
      </c>
      <c r="G148" s="25">
        <f t="shared" si="6"/>
        <v>62000</v>
      </c>
      <c r="H148" s="97">
        <v>0</v>
      </c>
      <c r="I148" s="97">
        <v>62000</v>
      </c>
      <c r="J148" s="97">
        <v>0</v>
      </c>
      <c r="K148" s="98">
        <v>0</v>
      </c>
      <c r="L148" s="27">
        <f t="shared" si="7"/>
        <v>62000</v>
      </c>
      <c r="M148" s="99">
        <v>0</v>
      </c>
      <c r="N148" s="26">
        <v>0</v>
      </c>
      <c r="O148" s="24">
        <v>0</v>
      </c>
    </row>
    <row r="149" spans="1:15" ht="25.5" customHeight="1">
      <c r="A149" s="37" t="s">
        <v>294</v>
      </c>
      <c r="B149" s="22" t="s">
        <v>329</v>
      </c>
      <c r="C149" s="23" t="s">
        <v>392</v>
      </c>
      <c r="D149" s="34" t="s">
        <v>484</v>
      </c>
      <c r="E149" s="68">
        <v>2006</v>
      </c>
      <c r="F149" s="26">
        <v>40</v>
      </c>
      <c r="G149" s="25">
        <f t="shared" si="6"/>
        <v>40000</v>
      </c>
      <c r="H149" s="97">
        <v>0</v>
      </c>
      <c r="I149" s="97">
        <v>40000</v>
      </c>
      <c r="J149" s="97">
        <v>0</v>
      </c>
      <c r="K149" s="98">
        <v>0</v>
      </c>
      <c r="L149" s="27">
        <f t="shared" si="7"/>
        <v>40000</v>
      </c>
      <c r="M149" s="99">
        <v>0</v>
      </c>
      <c r="N149" s="26">
        <v>0</v>
      </c>
      <c r="O149" s="24">
        <v>0</v>
      </c>
    </row>
    <row r="150" spans="1:15" ht="25.5" customHeight="1">
      <c r="A150" s="37"/>
      <c r="B150" s="3" t="s">
        <v>451</v>
      </c>
      <c r="C150" s="6" t="s">
        <v>452</v>
      </c>
      <c r="D150" s="6"/>
      <c r="E150" s="68"/>
      <c r="F150" s="19">
        <f>SUM(F151)</f>
        <v>5</v>
      </c>
      <c r="G150" s="38">
        <f>SUM(H150:K150)</f>
        <v>5000</v>
      </c>
      <c r="H150" s="19">
        <f>SUM(H151:H151)</f>
        <v>0</v>
      </c>
      <c r="I150" s="19">
        <f>SUM(I151:I151)</f>
        <v>0</v>
      </c>
      <c r="J150" s="19">
        <f>SUM(J151:J151)</f>
        <v>0</v>
      </c>
      <c r="K150" s="89">
        <f>SUM(K151:K151)</f>
        <v>5000</v>
      </c>
      <c r="L150" s="20">
        <f>G150+M150+N150+O150</f>
        <v>5000</v>
      </c>
      <c r="M150" s="77">
        <f>M151</f>
        <v>0</v>
      </c>
      <c r="N150" s="77">
        <f>N151</f>
        <v>0</v>
      </c>
      <c r="O150" s="77">
        <f>O151</f>
        <v>0</v>
      </c>
    </row>
    <row r="151" spans="1:15" ht="24" customHeight="1">
      <c r="A151" s="37" t="s">
        <v>278</v>
      </c>
      <c r="B151" s="22" t="s">
        <v>329</v>
      </c>
      <c r="C151" s="23" t="s">
        <v>453</v>
      </c>
      <c r="D151" s="3" t="s">
        <v>494</v>
      </c>
      <c r="E151" s="68">
        <v>2006</v>
      </c>
      <c r="F151" s="26">
        <v>5</v>
      </c>
      <c r="G151" s="25">
        <f>SUM(H151:K151)</f>
        <v>5000</v>
      </c>
      <c r="H151" s="97">
        <v>0</v>
      </c>
      <c r="I151" s="97">
        <v>0</v>
      </c>
      <c r="J151" s="97">
        <v>0</v>
      </c>
      <c r="K151" s="98">
        <v>5000</v>
      </c>
      <c r="L151" s="27">
        <f>G151+M151+N151+O151</f>
        <v>5000</v>
      </c>
      <c r="M151" s="99">
        <v>0</v>
      </c>
      <c r="N151" s="26">
        <v>0</v>
      </c>
      <c r="O151" s="24">
        <v>0</v>
      </c>
    </row>
    <row r="152" spans="1:15" ht="32.25" customHeight="1">
      <c r="A152" s="37"/>
      <c r="B152" s="3" t="s">
        <v>454</v>
      </c>
      <c r="C152" s="6" t="s">
        <v>455</v>
      </c>
      <c r="D152" s="6"/>
      <c r="E152" s="68"/>
      <c r="F152" s="19">
        <f>F153</f>
        <v>27</v>
      </c>
      <c r="G152" s="38">
        <f>SUM(H152:K152)</f>
        <v>27000</v>
      </c>
      <c r="H152" s="19">
        <f>SUM(H153:H153)</f>
        <v>0</v>
      </c>
      <c r="I152" s="19">
        <f>SUM(I153:I153)</f>
        <v>0</v>
      </c>
      <c r="J152" s="19">
        <f>SUM(J153:J153)</f>
        <v>0</v>
      </c>
      <c r="K152" s="89">
        <f>SUM(K153:K153)</f>
        <v>27000</v>
      </c>
      <c r="L152" s="20">
        <f>G152+M152+N152+O152</f>
        <v>27000</v>
      </c>
      <c r="M152" s="77">
        <f>M153</f>
        <v>0</v>
      </c>
      <c r="N152" s="77">
        <f>N153</f>
        <v>0</v>
      </c>
      <c r="O152" s="77">
        <f>O153</f>
        <v>0</v>
      </c>
    </row>
    <row r="153" spans="1:15" ht="29.25" customHeight="1">
      <c r="A153" s="37" t="s">
        <v>278</v>
      </c>
      <c r="B153" s="22" t="s">
        <v>329</v>
      </c>
      <c r="C153" s="23" t="s">
        <v>456</v>
      </c>
      <c r="D153" s="3" t="s">
        <v>512</v>
      </c>
      <c r="E153" s="68">
        <v>2006</v>
      </c>
      <c r="F153" s="26">
        <v>27</v>
      </c>
      <c r="G153" s="25">
        <f>SUM(H153:K153)</f>
        <v>27000</v>
      </c>
      <c r="H153" s="97">
        <v>0</v>
      </c>
      <c r="I153" s="97">
        <v>0</v>
      </c>
      <c r="J153" s="97">
        <v>0</v>
      </c>
      <c r="K153" s="98">
        <v>27000</v>
      </c>
      <c r="L153" s="27">
        <f>G153+M153+N153+O153</f>
        <v>27000</v>
      </c>
      <c r="M153" s="99">
        <v>0</v>
      </c>
      <c r="N153" s="26">
        <v>0</v>
      </c>
      <c r="O153" s="24">
        <v>0</v>
      </c>
    </row>
    <row r="154" spans="1:15" ht="24.75" customHeight="1">
      <c r="A154" s="72"/>
      <c r="B154" s="34" t="s">
        <v>382</v>
      </c>
      <c r="C154" s="33" t="s">
        <v>383</v>
      </c>
      <c r="D154" s="33"/>
      <c r="E154" s="74"/>
      <c r="F154" s="78">
        <f>SUM(F155)</f>
        <v>100</v>
      </c>
      <c r="G154" s="75">
        <f t="shared" si="6"/>
        <v>100000</v>
      </c>
      <c r="H154" s="78">
        <f>SUM(H155:H155)</f>
        <v>0</v>
      </c>
      <c r="I154" s="78">
        <f>SUM(I155:I155)</f>
        <v>100000</v>
      </c>
      <c r="J154" s="78">
        <f>SUM(J155:J155)</f>
        <v>0</v>
      </c>
      <c r="K154" s="78">
        <f>SUM(K155:K155)</f>
        <v>0</v>
      </c>
      <c r="L154" s="36">
        <f t="shared" si="7"/>
        <v>100000</v>
      </c>
      <c r="M154" s="80">
        <f>SUM(M155:M155)</f>
        <v>0</v>
      </c>
      <c r="N154" s="80">
        <f>SUM(N155:N155)</f>
        <v>0</v>
      </c>
      <c r="O154" s="80">
        <f>SUM(O155:O155)</f>
        <v>0</v>
      </c>
    </row>
    <row r="155" spans="1:15" ht="22.5" customHeight="1">
      <c r="A155" s="37" t="s">
        <v>278</v>
      </c>
      <c r="B155" s="39" t="s">
        <v>283</v>
      </c>
      <c r="C155" s="23" t="s">
        <v>384</v>
      </c>
      <c r="D155" s="3" t="s">
        <v>485</v>
      </c>
      <c r="E155" s="68">
        <v>2006</v>
      </c>
      <c r="F155" s="26">
        <v>100</v>
      </c>
      <c r="G155" s="25">
        <f t="shared" si="6"/>
        <v>100000</v>
      </c>
      <c r="H155" s="97">
        <v>0</v>
      </c>
      <c r="I155" s="97">
        <v>100000</v>
      </c>
      <c r="J155" s="97">
        <v>0</v>
      </c>
      <c r="K155" s="98">
        <v>0</v>
      </c>
      <c r="L155" s="27">
        <f t="shared" si="7"/>
        <v>100000</v>
      </c>
      <c r="M155" s="99">
        <v>0</v>
      </c>
      <c r="N155" s="26">
        <v>0</v>
      </c>
      <c r="O155" s="24">
        <v>0</v>
      </c>
    </row>
    <row r="156" spans="1:73" ht="24" customHeight="1">
      <c r="A156" s="6"/>
      <c r="B156" s="3" t="s">
        <v>465</v>
      </c>
      <c r="C156" s="6" t="s">
        <v>498</v>
      </c>
      <c r="D156" s="6"/>
      <c r="E156" s="96"/>
      <c r="F156" s="11">
        <f>F157</f>
        <v>50</v>
      </c>
      <c r="G156" s="38">
        <f>SUM(H156:K156)</f>
        <v>50000</v>
      </c>
      <c r="H156" s="11">
        <f>SUM(H157:H157)</f>
        <v>0</v>
      </c>
      <c r="I156" s="11">
        <f>SUM(I157:I157)</f>
        <v>50000</v>
      </c>
      <c r="J156" s="11">
        <f>SUM(J157:J157)</f>
        <v>0</v>
      </c>
      <c r="K156" s="12">
        <f>SUM(K157:K157)</f>
        <v>0</v>
      </c>
      <c r="L156" s="20">
        <f>G156+M156+N156+O156</f>
        <v>50000</v>
      </c>
      <c r="M156" s="14">
        <f>M157</f>
        <v>0</v>
      </c>
      <c r="N156" s="14">
        <f>N157</f>
        <v>0</v>
      </c>
      <c r="O156" s="14">
        <f>O157</f>
        <v>0</v>
      </c>
      <c r="P156" s="116"/>
      <c r="BS156" s="2"/>
      <c r="BT156" s="2"/>
      <c r="BU156" s="2"/>
    </row>
    <row r="157" spans="1:73" ht="45" customHeight="1">
      <c r="A157" s="37" t="s">
        <v>278</v>
      </c>
      <c r="B157" s="39" t="s">
        <v>333</v>
      </c>
      <c r="C157" s="23" t="s">
        <v>334</v>
      </c>
      <c r="D157" s="3" t="s">
        <v>488</v>
      </c>
      <c r="E157" s="68">
        <v>2006</v>
      </c>
      <c r="F157" s="26">
        <v>50</v>
      </c>
      <c r="G157" s="83">
        <f>SUM(H157:K157)</f>
        <v>50000</v>
      </c>
      <c r="H157" s="69">
        <v>0</v>
      </c>
      <c r="I157" s="69">
        <v>50000</v>
      </c>
      <c r="J157" s="69">
        <v>0</v>
      </c>
      <c r="K157" s="70">
        <v>0</v>
      </c>
      <c r="L157" s="27">
        <f>G157+M157+N157+O157</f>
        <v>50000</v>
      </c>
      <c r="M157" s="71">
        <v>0</v>
      </c>
      <c r="N157" s="26">
        <v>0</v>
      </c>
      <c r="O157" s="24">
        <v>0</v>
      </c>
      <c r="P157" s="121"/>
      <c r="BS157" s="2"/>
      <c r="BT157" s="2"/>
      <c r="BU157" s="2"/>
    </row>
    <row r="158" spans="1:15" ht="33.75" customHeight="1">
      <c r="A158" s="37"/>
      <c r="B158" s="3" t="s">
        <v>385</v>
      </c>
      <c r="C158" s="6" t="s">
        <v>386</v>
      </c>
      <c r="D158" s="6"/>
      <c r="E158" s="76"/>
      <c r="F158" s="19">
        <f>F159</f>
        <v>10</v>
      </c>
      <c r="G158" s="38">
        <f t="shared" si="6"/>
        <v>10000</v>
      </c>
      <c r="H158" s="19">
        <f>H159</f>
        <v>0</v>
      </c>
      <c r="I158" s="19">
        <f>I159</f>
        <v>10000</v>
      </c>
      <c r="J158" s="19">
        <f>J159</f>
        <v>0</v>
      </c>
      <c r="K158" s="19">
        <f>K159</f>
        <v>0</v>
      </c>
      <c r="L158" s="20">
        <f t="shared" si="7"/>
        <v>10000</v>
      </c>
      <c r="M158" s="90">
        <f>M159</f>
        <v>0</v>
      </c>
      <c r="N158" s="90">
        <f>N159</f>
        <v>0</v>
      </c>
      <c r="O158" s="90">
        <f>O159</f>
        <v>0</v>
      </c>
    </row>
    <row r="159" spans="1:15" ht="24" customHeight="1">
      <c r="A159" s="37" t="s">
        <v>278</v>
      </c>
      <c r="B159" s="39" t="s">
        <v>329</v>
      </c>
      <c r="C159" s="23" t="s">
        <v>463</v>
      </c>
      <c r="D159" s="3" t="s">
        <v>495</v>
      </c>
      <c r="E159" s="68">
        <v>2006</v>
      </c>
      <c r="F159" s="26">
        <v>10</v>
      </c>
      <c r="G159" s="25">
        <f t="shared" si="6"/>
        <v>10000</v>
      </c>
      <c r="H159" s="97">
        <v>0</v>
      </c>
      <c r="I159" s="97">
        <v>10000</v>
      </c>
      <c r="J159" s="97">
        <v>0</v>
      </c>
      <c r="K159" s="98">
        <v>0</v>
      </c>
      <c r="L159" s="27">
        <f t="shared" si="7"/>
        <v>10000</v>
      </c>
      <c r="M159" s="99">
        <v>0</v>
      </c>
      <c r="N159" s="26">
        <v>0</v>
      </c>
      <c r="O159" s="24">
        <v>0</v>
      </c>
    </row>
    <row r="160" spans="1:15" ht="28.5" customHeight="1">
      <c r="A160" s="37"/>
      <c r="B160" s="3" t="s">
        <v>358</v>
      </c>
      <c r="C160" s="6" t="s">
        <v>390</v>
      </c>
      <c r="D160" s="6"/>
      <c r="E160" s="68"/>
      <c r="F160" s="19">
        <f>F161</f>
        <v>70</v>
      </c>
      <c r="G160" s="38">
        <f>SUM(H160:K160)</f>
        <v>70000</v>
      </c>
      <c r="H160" s="19">
        <f>H161</f>
        <v>0</v>
      </c>
      <c r="I160" s="19">
        <f>I161</f>
        <v>70000</v>
      </c>
      <c r="J160" s="19">
        <f>J161</f>
        <v>0</v>
      </c>
      <c r="K160" s="19">
        <f>K161</f>
        <v>0</v>
      </c>
      <c r="L160" s="20">
        <f t="shared" si="7"/>
        <v>70000</v>
      </c>
      <c r="M160" s="77">
        <f>SUM(M161:M161)</f>
        <v>0</v>
      </c>
      <c r="N160" s="77">
        <f>SUM(N161:N161)</f>
        <v>0</v>
      </c>
      <c r="O160" s="77">
        <f>SUM(O161:O161)</f>
        <v>0</v>
      </c>
    </row>
    <row r="161" spans="1:15" ht="21.75" customHeight="1">
      <c r="A161" s="37" t="s">
        <v>278</v>
      </c>
      <c r="B161" s="22" t="s">
        <v>329</v>
      </c>
      <c r="C161" s="23" t="s">
        <v>463</v>
      </c>
      <c r="D161" s="3" t="s">
        <v>496</v>
      </c>
      <c r="E161" s="68">
        <v>2006</v>
      </c>
      <c r="F161" s="26">
        <v>70</v>
      </c>
      <c r="G161" s="25">
        <f>SUM(H161:K161)</f>
        <v>70000</v>
      </c>
      <c r="H161" s="97">
        <v>0</v>
      </c>
      <c r="I161" s="97">
        <v>70000</v>
      </c>
      <c r="J161" s="97">
        <v>0</v>
      </c>
      <c r="K161" s="98">
        <v>0</v>
      </c>
      <c r="L161" s="27">
        <f t="shared" si="7"/>
        <v>70000</v>
      </c>
      <c r="M161" s="99">
        <v>0</v>
      </c>
      <c r="N161" s="26">
        <v>0</v>
      </c>
      <c r="O161" s="24">
        <v>0</v>
      </c>
    </row>
    <row r="162" spans="1:15" ht="33" customHeight="1">
      <c r="A162" s="37"/>
      <c r="B162" s="3" t="s">
        <v>387</v>
      </c>
      <c r="C162" s="6" t="s">
        <v>388</v>
      </c>
      <c r="D162" s="6"/>
      <c r="E162" s="76"/>
      <c r="F162" s="19">
        <f>SUM(F163)</f>
        <v>1020</v>
      </c>
      <c r="G162" s="38">
        <f t="shared" si="6"/>
        <v>500000</v>
      </c>
      <c r="H162" s="19">
        <f>H163</f>
        <v>0</v>
      </c>
      <c r="I162" s="19">
        <f>I163</f>
        <v>500000</v>
      </c>
      <c r="J162" s="19">
        <f>J163</f>
        <v>0</v>
      </c>
      <c r="K162" s="19">
        <f>K163</f>
        <v>0</v>
      </c>
      <c r="L162" s="20">
        <f t="shared" si="7"/>
        <v>500000</v>
      </c>
      <c r="M162" s="90">
        <f>M163</f>
        <v>0</v>
      </c>
      <c r="N162" s="90">
        <f>N163</f>
        <v>0</v>
      </c>
      <c r="O162" s="90">
        <f>O163</f>
        <v>0</v>
      </c>
    </row>
    <row r="163" spans="1:15" ht="30" customHeight="1">
      <c r="A163" s="37" t="s">
        <v>278</v>
      </c>
      <c r="B163" s="39" t="s">
        <v>283</v>
      </c>
      <c r="C163" s="23" t="s">
        <v>389</v>
      </c>
      <c r="D163" s="3" t="s">
        <v>485</v>
      </c>
      <c r="E163" s="68" t="s">
        <v>435</v>
      </c>
      <c r="F163" s="26">
        <f>20+500+500</f>
        <v>1020</v>
      </c>
      <c r="G163" s="25">
        <f t="shared" si="6"/>
        <v>500000</v>
      </c>
      <c r="H163" s="97">
        <v>0</v>
      </c>
      <c r="I163" s="97">
        <v>500000</v>
      </c>
      <c r="J163" s="97">
        <v>0</v>
      </c>
      <c r="K163" s="98">
        <v>0</v>
      </c>
      <c r="L163" s="27">
        <f t="shared" si="7"/>
        <v>500000</v>
      </c>
      <c r="M163" s="99">
        <v>0</v>
      </c>
      <c r="N163" s="26">
        <v>0</v>
      </c>
      <c r="O163" s="24">
        <v>0</v>
      </c>
    </row>
    <row r="164" spans="1:15" ht="30.75" customHeight="1">
      <c r="A164" s="33"/>
      <c r="B164" s="34" t="s">
        <v>317</v>
      </c>
      <c r="C164" s="33" t="s">
        <v>318</v>
      </c>
      <c r="D164" s="33"/>
      <c r="E164" s="82"/>
      <c r="F164" s="35">
        <f>F165</f>
        <v>2860</v>
      </c>
      <c r="G164" s="75">
        <f t="shared" si="6"/>
        <v>1500000</v>
      </c>
      <c r="H164" s="35">
        <f>H165</f>
        <v>0</v>
      </c>
      <c r="I164" s="35">
        <f>I165</f>
        <v>1500000</v>
      </c>
      <c r="J164" s="35">
        <f>J165</f>
        <v>0</v>
      </c>
      <c r="K164" s="35">
        <f>K165</f>
        <v>0</v>
      </c>
      <c r="L164" s="36">
        <f t="shared" si="7"/>
        <v>1500000</v>
      </c>
      <c r="M164" s="35">
        <f>M165</f>
        <v>0</v>
      </c>
      <c r="N164" s="35">
        <f>N165</f>
        <v>0</v>
      </c>
      <c r="O164" s="35">
        <f>O165</f>
        <v>0</v>
      </c>
    </row>
    <row r="165" spans="1:15" ht="21" customHeight="1">
      <c r="A165" s="72" t="s">
        <v>278</v>
      </c>
      <c r="B165" s="140" t="s">
        <v>283</v>
      </c>
      <c r="C165" s="30" t="s">
        <v>380</v>
      </c>
      <c r="D165" s="34" t="s">
        <v>485</v>
      </c>
      <c r="E165" s="60" t="s">
        <v>435</v>
      </c>
      <c r="F165" s="32">
        <f>60+1500+1300</f>
        <v>2860</v>
      </c>
      <c r="G165" s="62">
        <f>SUM(H165:K165)</f>
        <v>1500000</v>
      </c>
      <c r="H165" s="100">
        <v>0</v>
      </c>
      <c r="I165" s="100">
        <v>1500000</v>
      </c>
      <c r="J165" s="100"/>
      <c r="K165" s="101">
        <v>0</v>
      </c>
      <c r="L165" s="65">
        <f>G165+M165+N165+O165</f>
        <v>1500000</v>
      </c>
      <c r="M165" s="102">
        <v>0</v>
      </c>
      <c r="N165" s="32">
        <v>0</v>
      </c>
      <c r="O165" s="31">
        <v>0</v>
      </c>
    </row>
    <row r="166" spans="1:15" ht="29.25" customHeight="1">
      <c r="A166" s="6"/>
      <c r="B166" s="3" t="s">
        <v>404</v>
      </c>
      <c r="C166" s="6" t="s">
        <v>405</v>
      </c>
      <c r="D166" s="6"/>
      <c r="E166" s="96"/>
      <c r="F166" s="11">
        <f>F167</f>
        <v>40</v>
      </c>
      <c r="G166" s="38">
        <f t="shared" si="6"/>
        <v>40000</v>
      </c>
      <c r="H166" s="11">
        <f>SUM(H167)</f>
        <v>0</v>
      </c>
      <c r="I166" s="11">
        <f>SUM(I167)</f>
        <v>40000</v>
      </c>
      <c r="J166" s="11">
        <f>SUM(J167)</f>
        <v>0</v>
      </c>
      <c r="K166" s="11">
        <f>SUM(K167)</f>
        <v>0</v>
      </c>
      <c r="L166" s="20">
        <f t="shared" si="7"/>
        <v>40000</v>
      </c>
      <c r="M166" s="11">
        <f>SUM(M167)</f>
        <v>0</v>
      </c>
      <c r="N166" s="11">
        <f>SUM(N167)</f>
        <v>0</v>
      </c>
      <c r="O166" s="11">
        <f>SUM(O167)</f>
        <v>0</v>
      </c>
    </row>
    <row r="167" spans="1:15" ht="30.75" customHeight="1">
      <c r="A167" s="37" t="s">
        <v>278</v>
      </c>
      <c r="B167" s="39" t="s">
        <v>403</v>
      </c>
      <c r="C167" s="23" t="s">
        <v>391</v>
      </c>
      <c r="D167" s="3" t="s">
        <v>488</v>
      </c>
      <c r="E167" s="68">
        <v>2006</v>
      </c>
      <c r="F167" s="26">
        <v>40</v>
      </c>
      <c r="G167" s="83">
        <f t="shared" si="6"/>
        <v>40000</v>
      </c>
      <c r="H167" s="69">
        <v>0</v>
      </c>
      <c r="I167" s="69">
        <v>40000</v>
      </c>
      <c r="J167" s="69">
        <v>0</v>
      </c>
      <c r="K167" s="70">
        <v>0</v>
      </c>
      <c r="L167" s="27">
        <f t="shared" si="7"/>
        <v>40000</v>
      </c>
      <c r="M167" s="71">
        <v>0</v>
      </c>
      <c r="N167" s="26">
        <v>0</v>
      </c>
      <c r="O167" s="24">
        <v>0</v>
      </c>
    </row>
    <row r="168" spans="1:15" ht="36" customHeight="1">
      <c r="A168" s="6"/>
      <c r="B168" s="3" t="s">
        <v>406</v>
      </c>
      <c r="C168" s="6" t="s">
        <v>407</v>
      </c>
      <c r="D168" s="6"/>
      <c r="E168" s="96"/>
      <c r="F168" s="11">
        <f>SUM(F169:F170)</f>
        <v>14</v>
      </c>
      <c r="G168" s="38">
        <f t="shared" si="6"/>
        <v>14000</v>
      </c>
      <c r="H168" s="11">
        <f>SUM(H169:H170)</f>
        <v>0</v>
      </c>
      <c r="I168" s="11">
        <f>SUM(I169:I170)</f>
        <v>14000</v>
      </c>
      <c r="J168" s="11">
        <f>SUM(J169:J170)</f>
        <v>0</v>
      </c>
      <c r="K168" s="11">
        <f>SUM(K169:K170)</f>
        <v>0</v>
      </c>
      <c r="L168" s="20">
        <f t="shared" si="7"/>
        <v>14000</v>
      </c>
      <c r="M168" s="11">
        <f>SUM(M169:M170)</f>
        <v>0</v>
      </c>
      <c r="N168" s="11">
        <f>SUM(N169:N170)</f>
        <v>0</v>
      </c>
      <c r="O168" s="11">
        <f>SUM(O169:O170)</f>
        <v>0</v>
      </c>
    </row>
    <row r="169" spans="1:15" ht="35.25" customHeight="1">
      <c r="A169" s="37" t="s">
        <v>278</v>
      </c>
      <c r="B169" s="39" t="s">
        <v>403</v>
      </c>
      <c r="C169" s="23" t="s">
        <v>408</v>
      </c>
      <c r="D169" s="3" t="s">
        <v>488</v>
      </c>
      <c r="E169" s="68">
        <v>2006</v>
      </c>
      <c r="F169" s="26">
        <v>7</v>
      </c>
      <c r="G169" s="83">
        <f t="shared" si="6"/>
        <v>7000</v>
      </c>
      <c r="H169" s="69">
        <v>0</v>
      </c>
      <c r="I169" s="69">
        <v>7000</v>
      </c>
      <c r="J169" s="69">
        <v>0</v>
      </c>
      <c r="K169" s="70">
        <v>0</v>
      </c>
      <c r="L169" s="27">
        <f t="shared" si="7"/>
        <v>7000</v>
      </c>
      <c r="M169" s="71">
        <v>0</v>
      </c>
      <c r="N169" s="26">
        <v>0</v>
      </c>
      <c r="O169" s="24">
        <v>0</v>
      </c>
    </row>
    <row r="170" spans="1:15" ht="26.25" customHeight="1">
      <c r="A170" s="37" t="s">
        <v>280</v>
      </c>
      <c r="B170" s="39" t="s">
        <v>403</v>
      </c>
      <c r="C170" s="23" t="s">
        <v>409</v>
      </c>
      <c r="D170" s="3" t="s">
        <v>488</v>
      </c>
      <c r="E170" s="68">
        <v>2006</v>
      </c>
      <c r="F170" s="26">
        <v>7</v>
      </c>
      <c r="G170" s="83">
        <f t="shared" si="6"/>
        <v>7000</v>
      </c>
      <c r="H170" s="69">
        <v>0</v>
      </c>
      <c r="I170" s="69">
        <v>7000</v>
      </c>
      <c r="J170" s="69">
        <v>0</v>
      </c>
      <c r="K170" s="70">
        <v>0</v>
      </c>
      <c r="L170" s="27">
        <f t="shared" si="7"/>
        <v>7000</v>
      </c>
      <c r="M170" s="71">
        <v>0</v>
      </c>
      <c r="N170" s="26">
        <v>0</v>
      </c>
      <c r="O170" s="24">
        <v>0</v>
      </c>
    </row>
    <row r="171" spans="1:15" ht="29.25" customHeight="1">
      <c r="A171" s="41"/>
      <c r="B171" s="91" t="s">
        <v>446</v>
      </c>
      <c r="C171" s="6" t="s">
        <v>449</v>
      </c>
      <c r="D171" s="92"/>
      <c r="E171" s="52"/>
      <c r="F171" s="94">
        <f>SUM(F172)</f>
        <v>100</v>
      </c>
      <c r="G171" s="93">
        <f>SUM(H171:K171)</f>
        <v>100000</v>
      </c>
      <c r="H171" s="94">
        <f>SUM(H172)</f>
        <v>0</v>
      </c>
      <c r="I171" s="94">
        <f>SUM(I172)</f>
        <v>100000</v>
      </c>
      <c r="J171" s="94">
        <f>SUM(J172)</f>
        <v>0</v>
      </c>
      <c r="K171" s="112">
        <f>SUM(K172)</f>
        <v>0</v>
      </c>
      <c r="L171" s="20">
        <f>G171+M171+N171+O171</f>
        <v>100000</v>
      </c>
      <c r="M171" s="113">
        <f>M172</f>
        <v>0</v>
      </c>
      <c r="N171" s="113">
        <f>N172</f>
        <v>0</v>
      </c>
      <c r="O171" s="113">
        <f>O172</f>
        <v>0</v>
      </c>
    </row>
    <row r="172" spans="1:15" ht="29.25" customHeight="1">
      <c r="A172" s="37" t="s">
        <v>278</v>
      </c>
      <c r="B172" s="22" t="s">
        <v>283</v>
      </c>
      <c r="C172" s="23" t="s">
        <v>448</v>
      </c>
      <c r="D172" s="3" t="s">
        <v>485</v>
      </c>
      <c r="E172" s="68">
        <v>2006</v>
      </c>
      <c r="F172" s="26">
        <v>100</v>
      </c>
      <c r="G172" s="25">
        <f>SUM(H172:K172)</f>
        <v>100000</v>
      </c>
      <c r="H172" s="97">
        <v>0</v>
      </c>
      <c r="I172" s="97">
        <v>100000</v>
      </c>
      <c r="J172" s="97">
        <v>0</v>
      </c>
      <c r="K172" s="98">
        <v>0</v>
      </c>
      <c r="L172" s="27">
        <f>G172+M172+N172+O172</f>
        <v>100000</v>
      </c>
      <c r="M172" s="99">
        <v>0</v>
      </c>
      <c r="N172" s="26">
        <v>0</v>
      </c>
      <c r="O172" s="24">
        <v>0</v>
      </c>
    </row>
    <row r="173" spans="1:15" ht="19.5" customHeight="1">
      <c r="A173" s="174"/>
      <c r="B173" s="179"/>
      <c r="C173" s="193"/>
      <c r="D173" s="193"/>
      <c r="E173" s="117"/>
      <c r="F173" s="194"/>
      <c r="G173" s="195"/>
      <c r="H173" s="194"/>
      <c r="I173" s="194"/>
      <c r="J173" s="194"/>
      <c r="K173" s="194"/>
      <c r="L173" s="196"/>
      <c r="M173" s="196"/>
      <c r="N173" s="196"/>
      <c r="O173" s="196"/>
    </row>
    <row r="174" spans="1:15" ht="16.5" customHeight="1">
      <c r="A174" s="197"/>
      <c r="B174" s="417" t="s">
        <v>499</v>
      </c>
      <c r="C174" s="417"/>
      <c r="D174" s="198"/>
      <c r="E174" s="188"/>
      <c r="F174" s="204" t="s">
        <v>507</v>
      </c>
      <c r="G174" s="200"/>
      <c r="H174" s="199"/>
      <c r="I174" s="199"/>
      <c r="J174" s="199"/>
      <c r="K174" s="199"/>
      <c r="L174" s="201"/>
      <c r="M174" s="201"/>
      <c r="N174" s="201"/>
      <c r="O174" s="201"/>
    </row>
    <row r="175" spans="1:15" ht="16.5" customHeight="1">
      <c r="A175" s="197"/>
      <c r="B175" s="417" t="s">
        <v>500</v>
      </c>
      <c r="C175" s="417"/>
      <c r="D175" s="198"/>
      <c r="E175" s="188"/>
      <c r="F175" s="204" t="s">
        <v>515</v>
      </c>
      <c r="G175" s="200"/>
      <c r="H175" s="199"/>
      <c r="I175" s="199"/>
      <c r="J175" s="199"/>
      <c r="K175" s="199"/>
      <c r="L175" s="201"/>
      <c r="M175" s="201"/>
      <c r="N175" s="201"/>
      <c r="O175" s="201"/>
    </row>
    <row r="176" spans="1:15" ht="16.5" customHeight="1">
      <c r="A176" s="197"/>
      <c r="B176" s="417" t="s">
        <v>501</v>
      </c>
      <c r="C176" s="417"/>
      <c r="D176" s="198"/>
      <c r="E176" s="188"/>
      <c r="F176" s="204" t="s">
        <v>508</v>
      </c>
      <c r="G176" s="200"/>
      <c r="H176" s="199"/>
      <c r="I176" s="199"/>
      <c r="J176" s="199"/>
      <c r="K176" s="199"/>
      <c r="L176" s="201"/>
      <c r="M176" s="201"/>
      <c r="N176" s="201"/>
      <c r="O176" s="201"/>
    </row>
    <row r="177" spans="1:15" ht="16.5" customHeight="1">
      <c r="A177" s="197"/>
      <c r="B177" s="417" t="s">
        <v>502</v>
      </c>
      <c r="C177" s="417"/>
      <c r="D177" s="198"/>
      <c r="E177" s="188"/>
      <c r="F177" s="204" t="s">
        <v>510</v>
      </c>
      <c r="G177" s="200"/>
      <c r="H177" s="199"/>
      <c r="I177" s="199"/>
      <c r="J177" s="199"/>
      <c r="K177" s="199"/>
      <c r="L177" s="201"/>
      <c r="M177" s="201"/>
      <c r="N177" s="201"/>
      <c r="O177" s="201"/>
    </row>
    <row r="178" spans="1:15" ht="16.5" customHeight="1">
      <c r="A178" s="197"/>
      <c r="B178" s="417" t="s">
        <v>504</v>
      </c>
      <c r="C178" s="417"/>
      <c r="D178" s="198"/>
      <c r="E178" s="188"/>
      <c r="F178" s="204" t="s">
        <v>511</v>
      </c>
      <c r="G178" s="200"/>
      <c r="H178" s="199"/>
      <c r="I178" s="199"/>
      <c r="J178" s="199"/>
      <c r="K178" s="199"/>
      <c r="L178" s="201"/>
      <c r="M178" s="201"/>
      <c r="N178" s="201"/>
      <c r="O178" s="201"/>
    </row>
    <row r="179" spans="1:15" ht="16.5" customHeight="1">
      <c r="A179" s="197"/>
      <c r="B179" s="417" t="s">
        <v>505</v>
      </c>
      <c r="C179" s="417"/>
      <c r="D179" s="198"/>
      <c r="E179" s="188"/>
      <c r="F179" s="204" t="s">
        <v>513</v>
      </c>
      <c r="G179" s="200"/>
      <c r="H179" s="199"/>
      <c r="I179" s="199"/>
      <c r="J179" s="199"/>
      <c r="K179" s="199"/>
      <c r="L179" s="201"/>
      <c r="M179" s="201"/>
      <c r="N179" s="201"/>
      <c r="O179" s="201"/>
    </row>
    <row r="180" spans="1:15" ht="16.5" customHeight="1">
      <c r="A180" s="197"/>
      <c r="B180" s="417" t="s">
        <v>506</v>
      </c>
      <c r="C180" s="417"/>
      <c r="D180" s="198"/>
      <c r="E180" s="188"/>
      <c r="F180" s="204" t="s">
        <v>514</v>
      </c>
      <c r="G180" s="200"/>
      <c r="H180" s="199"/>
      <c r="I180" s="199"/>
      <c r="J180" s="199"/>
      <c r="K180" s="199"/>
      <c r="L180" s="201"/>
      <c r="M180" s="201"/>
      <c r="N180" s="201"/>
      <c r="O180" s="201"/>
    </row>
    <row r="181" spans="1:15" ht="16.5" customHeight="1">
      <c r="A181" s="197"/>
      <c r="B181" s="187"/>
      <c r="C181" s="198"/>
      <c r="D181" s="198"/>
      <c r="E181" s="188"/>
      <c r="F181" s="199"/>
      <c r="G181" s="200"/>
      <c r="H181" s="199"/>
      <c r="I181" s="199"/>
      <c r="J181" s="199"/>
      <c r="K181" s="199"/>
      <c r="L181" s="201"/>
      <c r="M181" s="201"/>
      <c r="N181" s="201"/>
      <c r="O181" s="201"/>
    </row>
    <row r="182" spans="1:15" ht="12.75">
      <c r="A182" s="2"/>
      <c r="B182" s="128"/>
      <c r="C182" s="128"/>
      <c r="D182" s="202"/>
      <c r="E182" s="203"/>
      <c r="F182" s="189"/>
      <c r="G182" s="2"/>
      <c r="H182" s="2"/>
      <c r="I182" s="2"/>
      <c r="J182" s="2"/>
      <c r="K182" s="2"/>
      <c r="L182" s="2"/>
      <c r="M182" s="2"/>
      <c r="N182" s="2"/>
      <c r="O182" s="203"/>
    </row>
    <row r="183" spans="1:15" ht="19.5" customHeight="1">
      <c r="A183" s="2"/>
      <c r="B183" s="2"/>
      <c r="C183" s="172"/>
      <c r="D183" s="187"/>
      <c r="E183" s="188"/>
      <c r="F183" s="189"/>
      <c r="G183" s="190"/>
      <c r="H183" s="191"/>
      <c r="I183" s="191"/>
      <c r="J183" s="191"/>
      <c r="K183" s="191"/>
      <c r="L183" s="191"/>
      <c r="M183" s="191"/>
      <c r="N183" s="189"/>
      <c r="O183" s="192"/>
    </row>
    <row r="184" ht="12.75">
      <c r="E184" s="135"/>
    </row>
    <row r="185" ht="12.75">
      <c r="E185" s="135"/>
    </row>
    <row r="186" ht="12.75">
      <c r="E186" s="135"/>
    </row>
    <row r="187" ht="12.75">
      <c r="E187" s="135"/>
    </row>
    <row r="188" ht="12.75">
      <c r="E188" s="135"/>
    </row>
    <row r="189" ht="12.75">
      <c r="E189" s="135"/>
    </row>
    <row r="190" ht="12.75">
      <c r="E190" s="135"/>
    </row>
    <row r="191" ht="12.75">
      <c r="E191" s="135"/>
    </row>
    <row r="192" ht="12.75">
      <c r="E192" s="135"/>
    </row>
    <row r="193" ht="12.75">
      <c r="E193" s="135"/>
    </row>
    <row r="194" ht="12.75">
      <c r="E194" s="135"/>
    </row>
    <row r="195" ht="12.75">
      <c r="E195" s="135"/>
    </row>
    <row r="196" ht="12.75">
      <c r="E196" s="135"/>
    </row>
    <row r="197" ht="12.75">
      <c r="E197" s="135"/>
    </row>
    <row r="198" ht="12.75">
      <c r="E198" s="135"/>
    </row>
    <row r="199" ht="12.75">
      <c r="E199" s="135"/>
    </row>
    <row r="200" ht="12.75">
      <c r="E200" s="135"/>
    </row>
    <row r="201" ht="12.75">
      <c r="E201" s="135"/>
    </row>
    <row r="202" ht="12.75">
      <c r="E202" s="135"/>
    </row>
    <row r="203" ht="12.75">
      <c r="E203" s="135"/>
    </row>
    <row r="204" ht="12.75">
      <c r="E204" s="135"/>
    </row>
    <row r="205" ht="12.75">
      <c r="E205" s="135"/>
    </row>
    <row r="206" ht="12.75">
      <c r="E206" s="135"/>
    </row>
    <row r="207" ht="12.75">
      <c r="E207" s="135"/>
    </row>
    <row r="208" ht="12.75">
      <c r="E208" s="135"/>
    </row>
    <row r="209" ht="12.75">
      <c r="E209" s="135"/>
    </row>
    <row r="210" ht="12.75">
      <c r="E210" s="135"/>
    </row>
    <row r="211" ht="12.75">
      <c r="E211" s="135"/>
    </row>
    <row r="212" ht="12.75">
      <c r="E212" s="135"/>
    </row>
    <row r="213" ht="12.75">
      <c r="E213" s="135"/>
    </row>
    <row r="214" spans="2:70" s="137" customFormat="1" ht="12.75">
      <c r="B214" s="114"/>
      <c r="C214" s="114"/>
      <c r="D214" s="180"/>
      <c r="E214" s="136"/>
      <c r="F214" s="143"/>
      <c r="O214" s="136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</row>
    <row r="215" spans="2:70" s="137" customFormat="1" ht="12.75">
      <c r="B215" s="114"/>
      <c r="C215" s="114"/>
      <c r="D215" s="180"/>
      <c r="E215" s="136"/>
      <c r="F215" s="143"/>
      <c r="O215" s="136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</row>
    <row r="216" spans="2:70" s="137" customFormat="1" ht="12.75">
      <c r="B216" s="114"/>
      <c r="C216" s="114"/>
      <c r="D216" s="180"/>
      <c r="E216" s="136"/>
      <c r="F216" s="143"/>
      <c r="O216" s="136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</row>
    <row r="217" spans="2:70" s="137" customFormat="1" ht="12.75">
      <c r="B217" s="114"/>
      <c r="C217" s="114"/>
      <c r="D217" s="180"/>
      <c r="E217" s="136"/>
      <c r="F217" s="143"/>
      <c r="O217" s="136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</row>
    <row r="218" spans="2:70" s="137" customFormat="1" ht="12.75">
      <c r="B218" s="114"/>
      <c r="C218" s="114"/>
      <c r="D218" s="180"/>
      <c r="E218" s="136"/>
      <c r="F218" s="143"/>
      <c r="O218" s="136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</row>
    <row r="219" spans="2:70" s="137" customFormat="1" ht="12.75">
      <c r="B219" s="114"/>
      <c r="C219" s="114"/>
      <c r="D219" s="180"/>
      <c r="E219" s="136"/>
      <c r="F219" s="143"/>
      <c r="O219" s="136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</row>
    <row r="220" spans="2:70" s="137" customFormat="1" ht="12.75">
      <c r="B220" s="114"/>
      <c r="C220" s="114"/>
      <c r="D220" s="180"/>
      <c r="E220" s="136"/>
      <c r="F220" s="143"/>
      <c r="O220" s="136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</row>
    <row r="221" spans="2:70" s="137" customFormat="1" ht="12.75">
      <c r="B221" s="114"/>
      <c r="C221" s="114"/>
      <c r="D221" s="180"/>
      <c r="E221" s="136"/>
      <c r="F221" s="143"/>
      <c r="O221" s="136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</row>
    <row r="222" spans="2:70" s="137" customFormat="1" ht="12.75">
      <c r="B222" s="114"/>
      <c r="C222" s="114"/>
      <c r="D222" s="180"/>
      <c r="E222" s="136"/>
      <c r="F222" s="143"/>
      <c r="O222" s="136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</row>
    <row r="223" spans="2:70" s="137" customFormat="1" ht="12.75">
      <c r="B223" s="114"/>
      <c r="C223" s="114"/>
      <c r="D223" s="180"/>
      <c r="E223" s="136"/>
      <c r="F223" s="143"/>
      <c r="O223" s="136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</row>
    <row r="224" spans="2:70" s="137" customFormat="1" ht="12.75">
      <c r="B224" s="114"/>
      <c r="C224" s="114"/>
      <c r="D224" s="180"/>
      <c r="E224" s="136"/>
      <c r="F224" s="143"/>
      <c r="O224" s="136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</row>
    <row r="225" spans="2:70" s="137" customFormat="1" ht="12.75">
      <c r="B225" s="114"/>
      <c r="C225" s="114"/>
      <c r="D225" s="180"/>
      <c r="E225" s="136"/>
      <c r="F225" s="143"/>
      <c r="O225" s="136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</row>
    <row r="226" spans="2:70" s="137" customFormat="1" ht="12.75">
      <c r="B226" s="114"/>
      <c r="C226" s="114"/>
      <c r="D226" s="180"/>
      <c r="E226" s="136"/>
      <c r="F226" s="143"/>
      <c r="O226" s="136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</row>
    <row r="227" spans="2:70" s="137" customFormat="1" ht="12.75">
      <c r="B227" s="114"/>
      <c r="C227" s="114"/>
      <c r="D227" s="180"/>
      <c r="E227" s="136"/>
      <c r="F227" s="143"/>
      <c r="O227" s="136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</row>
    <row r="228" spans="2:70" s="137" customFormat="1" ht="12.75">
      <c r="B228" s="114"/>
      <c r="C228" s="114"/>
      <c r="D228" s="180"/>
      <c r="E228" s="136"/>
      <c r="F228" s="143"/>
      <c r="O228" s="136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</row>
    <row r="229" spans="2:70" s="137" customFormat="1" ht="12.75">
      <c r="B229" s="114"/>
      <c r="C229" s="114"/>
      <c r="D229" s="180"/>
      <c r="E229" s="136"/>
      <c r="F229" s="143"/>
      <c r="O229" s="136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</row>
    <row r="230" spans="2:70" s="137" customFormat="1" ht="12.75">
      <c r="B230" s="114"/>
      <c r="C230" s="114"/>
      <c r="D230" s="180"/>
      <c r="E230" s="136"/>
      <c r="F230" s="143"/>
      <c r="O230" s="136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</row>
    <row r="231" spans="2:70" s="137" customFormat="1" ht="12.75">
      <c r="B231" s="114"/>
      <c r="C231" s="114"/>
      <c r="D231" s="180"/>
      <c r="E231" s="136"/>
      <c r="F231" s="143"/>
      <c r="O231" s="136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</row>
    <row r="232" spans="2:70" s="137" customFormat="1" ht="12.75">
      <c r="B232" s="114"/>
      <c r="C232" s="114"/>
      <c r="D232" s="180"/>
      <c r="E232" s="136"/>
      <c r="F232" s="143"/>
      <c r="O232" s="136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</row>
    <row r="233" spans="2:70" s="137" customFormat="1" ht="12.75">
      <c r="B233" s="114"/>
      <c r="C233" s="114"/>
      <c r="D233" s="180"/>
      <c r="E233" s="136"/>
      <c r="F233" s="143"/>
      <c r="O233" s="136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</row>
    <row r="234" spans="2:70" s="137" customFormat="1" ht="12.75">
      <c r="B234" s="114"/>
      <c r="C234" s="114"/>
      <c r="D234" s="180"/>
      <c r="E234" s="136"/>
      <c r="F234" s="143"/>
      <c r="O234" s="136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</row>
    <row r="235" spans="2:70" s="137" customFormat="1" ht="12.75">
      <c r="B235" s="114"/>
      <c r="C235" s="114"/>
      <c r="D235" s="180"/>
      <c r="E235" s="136"/>
      <c r="F235" s="143"/>
      <c r="O235" s="136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</row>
    <row r="236" spans="2:70" s="137" customFormat="1" ht="12.75">
      <c r="B236" s="114"/>
      <c r="C236" s="114"/>
      <c r="D236" s="180"/>
      <c r="E236" s="136"/>
      <c r="F236" s="143"/>
      <c r="O236" s="136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</row>
    <row r="237" spans="2:70" s="137" customFormat="1" ht="12.75">
      <c r="B237" s="114"/>
      <c r="C237" s="114"/>
      <c r="D237" s="180"/>
      <c r="E237" s="136"/>
      <c r="F237" s="143"/>
      <c r="O237" s="136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</row>
    <row r="238" spans="2:70" s="137" customFormat="1" ht="12.75">
      <c r="B238" s="114"/>
      <c r="C238" s="114"/>
      <c r="D238" s="180"/>
      <c r="E238" s="136"/>
      <c r="F238" s="143"/>
      <c r="O238" s="136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</row>
    <row r="239" spans="2:70" s="137" customFormat="1" ht="12.75">
      <c r="B239" s="114"/>
      <c r="C239" s="114"/>
      <c r="D239" s="180"/>
      <c r="E239" s="136"/>
      <c r="F239" s="143"/>
      <c r="O239" s="136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</row>
    <row r="240" spans="2:70" s="137" customFormat="1" ht="12.75">
      <c r="B240" s="114"/>
      <c r="C240" s="114"/>
      <c r="D240" s="180"/>
      <c r="E240" s="136"/>
      <c r="F240" s="143"/>
      <c r="O240" s="136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</row>
    <row r="241" spans="2:70" s="137" customFormat="1" ht="12.75">
      <c r="B241" s="114"/>
      <c r="C241" s="114"/>
      <c r="D241" s="180"/>
      <c r="E241" s="136"/>
      <c r="F241" s="143"/>
      <c r="O241" s="136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</row>
    <row r="242" spans="2:70" s="137" customFormat="1" ht="12.75">
      <c r="B242" s="114"/>
      <c r="C242" s="114"/>
      <c r="D242" s="180"/>
      <c r="E242" s="136"/>
      <c r="F242" s="143"/>
      <c r="O242" s="136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</row>
    <row r="243" spans="2:70" s="137" customFormat="1" ht="12.75">
      <c r="B243" s="114"/>
      <c r="C243" s="114"/>
      <c r="D243" s="180"/>
      <c r="E243" s="136"/>
      <c r="F243" s="143"/>
      <c r="O243" s="136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</row>
    <row r="244" spans="2:70" s="137" customFormat="1" ht="12.75">
      <c r="B244" s="114"/>
      <c r="C244" s="114"/>
      <c r="D244" s="180"/>
      <c r="E244" s="136"/>
      <c r="F244" s="143"/>
      <c r="O244" s="136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</row>
  </sheetData>
  <mergeCells count="54">
    <mergeCell ref="B178:C178"/>
    <mergeCell ref="B179:C179"/>
    <mergeCell ref="B180:C180"/>
    <mergeCell ref="B174:C174"/>
    <mergeCell ref="B175:C175"/>
    <mergeCell ref="B176:C176"/>
    <mergeCell ref="B177:C177"/>
    <mergeCell ref="F136:F138"/>
    <mergeCell ref="A140:A142"/>
    <mergeCell ref="C140:C142"/>
    <mergeCell ref="D140:D142"/>
    <mergeCell ref="E140:E142"/>
    <mergeCell ref="F140:F142"/>
    <mergeCell ref="A136:A138"/>
    <mergeCell ref="C136:C138"/>
    <mergeCell ref="D136:D138"/>
    <mergeCell ref="E136:E138"/>
    <mergeCell ref="F117:F118"/>
    <mergeCell ref="A133:A135"/>
    <mergeCell ref="C133:C135"/>
    <mergeCell ref="D133:D135"/>
    <mergeCell ref="E133:E135"/>
    <mergeCell ref="F133:F135"/>
    <mergeCell ref="A117:A118"/>
    <mergeCell ref="C117:C118"/>
    <mergeCell ref="D117:D118"/>
    <mergeCell ref="E117:E118"/>
    <mergeCell ref="F38:F40"/>
    <mergeCell ref="A108:A110"/>
    <mergeCell ref="C108:C110"/>
    <mergeCell ref="D108:D110"/>
    <mergeCell ref="E108:E110"/>
    <mergeCell ref="F108:F110"/>
    <mergeCell ref="A38:A40"/>
    <mergeCell ref="C38:C40"/>
    <mergeCell ref="D38:D40"/>
    <mergeCell ref="E38:E40"/>
    <mergeCell ref="M4:N4"/>
    <mergeCell ref="O4:O5"/>
    <mergeCell ref="A32:A34"/>
    <mergeCell ref="C32:C34"/>
    <mergeCell ref="D32:D34"/>
    <mergeCell ref="E32:E34"/>
    <mergeCell ref="F32:F34"/>
    <mergeCell ref="A2:O2"/>
    <mergeCell ref="A4:A5"/>
    <mergeCell ref="B4:B5"/>
    <mergeCell ref="C4:C5"/>
    <mergeCell ref="D4:D5"/>
    <mergeCell ref="E4:E5"/>
    <mergeCell ref="F4:F5"/>
    <mergeCell ref="G4:G5"/>
    <mergeCell ref="H4:K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15"/>
  <sheetViews>
    <sheetView workbookViewId="0" topLeftCell="A1">
      <selection activeCell="D6" sqref="D6"/>
    </sheetView>
  </sheetViews>
  <sheetFormatPr defaultColWidth="9.140625" defaultRowHeight="12.75"/>
  <cols>
    <col min="1" max="1" width="3.8515625" style="301" customWidth="1"/>
    <col min="2" max="2" width="9.28125" style="1" customWidth="1"/>
    <col min="3" max="3" width="42.00390625" style="302" customWidth="1"/>
    <col min="4" max="4" width="11.421875" style="301" customWidth="1"/>
    <col min="5" max="5" width="10.28125" style="301" customWidth="1"/>
    <col min="6" max="6" width="10.140625" style="301" customWidth="1"/>
    <col min="7" max="7" width="10.00390625" style="301" customWidth="1"/>
    <col min="8" max="8" width="10.8515625" style="301" customWidth="1"/>
    <col min="9" max="9" width="12.28125" style="301" customWidth="1"/>
    <col min="10" max="10" width="9.00390625" style="301" customWidth="1"/>
    <col min="11" max="11" width="9.8515625" style="301" customWidth="1"/>
    <col min="12" max="12" width="9.00390625" style="303" customWidth="1"/>
    <col min="13" max="13" width="10.140625" style="293" customWidth="1"/>
    <col min="14" max="14" width="5.140625" style="304" customWidth="1"/>
    <col min="15" max="15" width="13.8515625" style="138" customWidth="1"/>
    <col min="16" max="16" width="21.7109375" style="138" customWidth="1"/>
    <col min="17" max="17" width="9.140625" style="2" customWidth="1"/>
    <col min="18" max="18" width="10.140625" style="2" bestFit="1" customWidth="1"/>
    <col min="19" max="19" width="9.140625" style="2" customWidth="1"/>
    <col min="20" max="70" width="9.140625" style="304" customWidth="1"/>
    <col min="71" max="16384" width="9.140625" style="301" customWidth="1"/>
  </cols>
  <sheetData>
    <row r="1" spans="1:16" s="2" customFormat="1" ht="23.25" customHeight="1">
      <c r="A1" s="447" t="s">
        <v>56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322" t="s">
        <v>483</v>
      </c>
      <c r="O1" s="139"/>
      <c r="P1" s="138"/>
    </row>
    <row r="2" spans="12:16" ht="13.5" customHeight="1">
      <c r="L2" s="304"/>
      <c r="N2" s="323"/>
      <c r="P2" s="139"/>
    </row>
    <row r="3" spans="1:13" ht="18.75" customHeight="1">
      <c r="A3" s="481" t="s">
        <v>239</v>
      </c>
      <c r="B3" s="481" t="s">
        <v>240</v>
      </c>
      <c r="C3" s="483" t="s">
        <v>241</v>
      </c>
      <c r="D3" s="479" t="s">
        <v>243</v>
      </c>
      <c r="E3" s="476" t="s">
        <v>127</v>
      </c>
      <c r="F3" s="477"/>
      <c r="G3" s="477"/>
      <c r="H3" s="478"/>
      <c r="I3" s="479" t="s">
        <v>243</v>
      </c>
      <c r="J3" s="476" t="s">
        <v>503</v>
      </c>
      <c r="K3" s="477"/>
      <c r="L3" s="477"/>
      <c r="M3" s="478"/>
    </row>
    <row r="4" spans="1:23" ht="28.5" customHeight="1">
      <c r="A4" s="482"/>
      <c r="B4" s="482"/>
      <c r="C4" s="484"/>
      <c r="D4" s="480"/>
      <c r="E4" s="374" t="s">
        <v>247</v>
      </c>
      <c r="F4" s="374" t="s">
        <v>248</v>
      </c>
      <c r="G4" s="374" t="s">
        <v>249</v>
      </c>
      <c r="H4" s="375" t="s">
        <v>250</v>
      </c>
      <c r="I4" s="480"/>
      <c r="J4" s="374" t="s">
        <v>247</v>
      </c>
      <c r="K4" s="374" t="s">
        <v>248</v>
      </c>
      <c r="L4" s="374" t="s">
        <v>249</v>
      </c>
      <c r="M4" s="374" t="s">
        <v>250</v>
      </c>
      <c r="Q4" s="466" t="s">
        <v>237</v>
      </c>
      <c r="R4" s="466"/>
      <c r="S4" s="466"/>
      <c r="T4" s="466"/>
      <c r="U4" s="466"/>
      <c r="V4" s="466"/>
      <c r="W4" s="466"/>
    </row>
    <row r="5" spans="1:19" s="324" customFormat="1" ht="12">
      <c r="A5" s="376">
        <v>1</v>
      </c>
      <c r="B5" s="376">
        <v>2</v>
      </c>
      <c r="C5" s="376">
        <v>3</v>
      </c>
      <c r="D5" s="376">
        <v>5</v>
      </c>
      <c r="E5" s="376">
        <v>6</v>
      </c>
      <c r="F5" s="376">
        <v>7</v>
      </c>
      <c r="G5" s="376">
        <v>8</v>
      </c>
      <c r="H5" s="377">
        <v>9</v>
      </c>
      <c r="I5" s="376">
        <v>5</v>
      </c>
      <c r="J5" s="376">
        <v>6</v>
      </c>
      <c r="K5" s="376">
        <v>7</v>
      </c>
      <c r="L5" s="376">
        <v>8</v>
      </c>
      <c r="M5" s="376">
        <v>9</v>
      </c>
      <c r="O5" s="182"/>
      <c r="P5" s="182"/>
      <c r="Q5" s="128"/>
      <c r="R5" s="128"/>
      <c r="S5" s="128"/>
    </row>
    <row r="6" spans="1:16" ht="27.75" customHeight="1">
      <c r="A6" s="6"/>
      <c r="B6" s="3"/>
      <c r="C6" s="4" t="s">
        <v>253</v>
      </c>
      <c r="D6" s="10">
        <f>SUM(E6:H6)</f>
        <v>52311731</v>
      </c>
      <c r="E6" s="11">
        <f>E7+E179</f>
        <v>6183158</v>
      </c>
      <c r="F6" s="11">
        <f>F7+F179</f>
        <v>31086178</v>
      </c>
      <c r="G6" s="11">
        <f>G7+G179</f>
        <v>2461200</v>
      </c>
      <c r="H6" s="12">
        <f>H7+H179</f>
        <v>12581195</v>
      </c>
      <c r="I6" s="13">
        <f aca="true" t="shared" si="0" ref="I6:I25">SUM(J6:M6)</f>
        <v>0</v>
      </c>
      <c r="J6" s="14">
        <f>J7+J179</f>
        <v>0</v>
      </c>
      <c r="K6" s="10">
        <f>K7+K179</f>
        <v>0</v>
      </c>
      <c r="L6" s="9">
        <f>L7+L179</f>
        <v>0</v>
      </c>
      <c r="M6" s="309">
        <f>M7+M179</f>
        <v>0</v>
      </c>
      <c r="O6" s="139">
        <f>D6+O8+O10</f>
        <v>55043280</v>
      </c>
      <c r="P6" s="138" t="s">
        <v>542</v>
      </c>
    </row>
    <row r="7" spans="1:15" ht="30.75" customHeight="1">
      <c r="A7" s="15" t="s">
        <v>254</v>
      </c>
      <c r="B7" s="16" t="s">
        <v>255</v>
      </c>
      <c r="C7" s="17" t="s">
        <v>256</v>
      </c>
      <c r="D7" s="10">
        <f>SUM(E7:H7)</f>
        <v>32292970</v>
      </c>
      <c r="E7" s="19">
        <f>SUM(E8:E34)</f>
        <v>4034234</v>
      </c>
      <c r="F7" s="19">
        <f>SUM(F8:F34)</f>
        <v>21950800</v>
      </c>
      <c r="G7" s="19">
        <f>SUM(G8:G34)</f>
        <v>2461200</v>
      </c>
      <c r="H7" s="19">
        <f>SUM(H8:H34)</f>
        <v>3846736</v>
      </c>
      <c r="I7" s="20">
        <f t="shared" si="0"/>
        <v>0</v>
      </c>
      <c r="J7" s="21">
        <f>SUM(J8:J34)</f>
        <v>0</v>
      </c>
      <c r="K7" s="21">
        <f>SUM(K8:K34)</f>
        <v>0</v>
      </c>
      <c r="L7" s="18">
        <f>SUM(L8:L34)</f>
        <v>0</v>
      </c>
      <c r="M7" s="310">
        <f>SUM(M8:M34)</f>
        <v>0</v>
      </c>
      <c r="O7" s="138">
        <f>D7+O8+O10</f>
        <v>35024519</v>
      </c>
    </row>
    <row r="8" spans="1:16" ht="19.5" customHeight="1">
      <c r="A8" s="311"/>
      <c r="B8" s="22" t="str">
        <f>RIGHT(B35,5)</f>
        <v>60004</v>
      </c>
      <c r="C8" s="23" t="s">
        <v>257</v>
      </c>
      <c r="D8" s="25">
        <f aca="true" t="shared" si="1" ref="D8:D52">SUM(E8:H8)</f>
        <v>72000</v>
      </c>
      <c r="E8" s="26">
        <f>E35</f>
        <v>0</v>
      </c>
      <c r="F8" s="26">
        <f>F35</f>
        <v>72000</v>
      </c>
      <c r="G8" s="26">
        <f>G35</f>
        <v>0</v>
      </c>
      <c r="H8" s="26">
        <f>H35</f>
        <v>0</v>
      </c>
      <c r="I8" s="27">
        <f t="shared" si="0"/>
        <v>0</v>
      </c>
      <c r="J8" s="295">
        <f>J35</f>
        <v>0</v>
      </c>
      <c r="K8" s="26">
        <f>K35</f>
        <v>0</v>
      </c>
      <c r="L8" s="26">
        <f>L35</f>
        <v>0</v>
      </c>
      <c r="M8" s="24">
        <f>M35</f>
        <v>0</v>
      </c>
      <c r="O8" s="138">
        <f>788223+480000+191000+72326</f>
        <v>1531549</v>
      </c>
      <c r="P8" s="138" t="s">
        <v>553</v>
      </c>
    </row>
    <row r="9" spans="1:13" ht="19.5" customHeight="1">
      <c r="A9" s="311"/>
      <c r="B9" s="22" t="str">
        <f>RIGHT(B37,5)</f>
        <v>60016</v>
      </c>
      <c r="C9" s="23" t="s">
        <v>258</v>
      </c>
      <c r="D9" s="25">
        <f t="shared" si="1"/>
        <v>10828488</v>
      </c>
      <c r="E9" s="26">
        <f>E37</f>
        <v>222080</v>
      </c>
      <c r="F9" s="26">
        <f>F37</f>
        <v>7602406</v>
      </c>
      <c r="G9" s="26">
        <f>G37</f>
        <v>735000</v>
      </c>
      <c r="H9" s="26">
        <f>H37</f>
        <v>2269002</v>
      </c>
      <c r="I9" s="27">
        <f t="shared" si="0"/>
        <v>0</v>
      </c>
      <c r="J9" s="26">
        <f>J37</f>
        <v>0</v>
      </c>
      <c r="K9" s="26">
        <f>K37</f>
        <v>0</v>
      </c>
      <c r="L9" s="26">
        <f>L37</f>
        <v>0</v>
      </c>
      <c r="M9" s="26">
        <f>M37</f>
        <v>0</v>
      </c>
    </row>
    <row r="10" spans="1:16" ht="19.5" customHeight="1">
      <c r="A10" s="311"/>
      <c r="B10" s="22" t="str">
        <f>RIGHT(B59,5)</f>
        <v>70005</v>
      </c>
      <c r="C10" s="23" t="s">
        <v>259</v>
      </c>
      <c r="D10" s="25">
        <f t="shared" si="1"/>
        <v>3200000</v>
      </c>
      <c r="E10" s="26">
        <f>E59</f>
        <v>0</v>
      </c>
      <c r="F10" s="26">
        <f>F59</f>
        <v>3200000</v>
      </c>
      <c r="G10" s="26">
        <f>G59</f>
        <v>0</v>
      </c>
      <c r="H10" s="26">
        <f>H59</f>
        <v>0</v>
      </c>
      <c r="I10" s="27">
        <f t="shared" si="0"/>
        <v>0</v>
      </c>
      <c r="J10" s="29">
        <f>J59</f>
        <v>0</v>
      </c>
      <c r="K10" s="25">
        <f>K59</f>
        <v>0</v>
      </c>
      <c r="L10" s="24">
        <f>L59</f>
        <v>0</v>
      </c>
      <c r="M10" s="299">
        <f>M59</f>
        <v>0</v>
      </c>
      <c r="O10" s="138">
        <v>1200000</v>
      </c>
      <c r="P10" s="138" t="s">
        <v>545</v>
      </c>
    </row>
    <row r="11" spans="1:13" ht="19.5" customHeight="1">
      <c r="A11" s="311"/>
      <c r="B11" s="22">
        <v>70095</v>
      </c>
      <c r="C11" s="23" t="s">
        <v>260</v>
      </c>
      <c r="D11" s="25">
        <f>SUM(E11:H11)</f>
        <v>3038367</v>
      </c>
      <c r="E11" s="26">
        <f>E62</f>
        <v>0</v>
      </c>
      <c r="F11" s="26">
        <f>F62</f>
        <v>3038367</v>
      </c>
      <c r="G11" s="26">
        <f>G62</f>
        <v>0</v>
      </c>
      <c r="H11" s="26">
        <f>H62</f>
        <v>0</v>
      </c>
      <c r="I11" s="27">
        <f t="shared" si="0"/>
        <v>0</v>
      </c>
      <c r="J11" s="26">
        <f>J62</f>
        <v>0</v>
      </c>
      <c r="K11" s="26">
        <f>K62</f>
        <v>0</v>
      </c>
      <c r="L11" s="26">
        <f>L62</f>
        <v>0</v>
      </c>
      <c r="M11" s="26">
        <f>M62</f>
        <v>0</v>
      </c>
    </row>
    <row r="12" spans="1:15" ht="19.5" customHeight="1">
      <c r="A12" s="311"/>
      <c r="B12" s="22">
        <v>71014</v>
      </c>
      <c r="C12" s="23" t="s">
        <v>18</v>
      </c>
      <c r="D12" s="25">
        <f>SUM(E12:H12)</f>
        <v>77026</v>
      </c>
      <c r="E12" s="26">
        <f>E63</f>
        <v>0</v>
      </c>
      <c r="F12" s="26">
        <f>F68</f>
        <v>77026</v>
      </c>
      <c r="G12" s="26">
        <f>G63</f>
        <v>0</v>
      </c>
      <c r="H12" s="26">
        <f>H63</f>
        <v>0</v>
      </c>
      <c r="I12" s="27">
        <f t="shared" si="0"/>
        <v>0</v>
      </c>
      <c r="J12" s="26">
        <f>J63</f>
        <v>0</v>
      </c>
      <c r="K12" s="26">
        <f>K68</f>
        <v>0</v>
      </c>
      <c r="L12" s="26">
        <f>L63</f>
        <v>0</v>
      </c>
      <c r="M12" s="26">
        <f>M63</f>
        <v>0</v>
      </c>
      <c r="O12" s="138">
        <f>F6</f>
        <v>31086178</v>
      </c>
    </row>
    <row r="13" spans="1:16" ht="19.5" customHeight="1">
      <c r="A13" s="311"/>
      <c r="B13" s="22" t="str">
        <f>RIGHT(B72,5)</f>
        <v>71095</v>
      </c>
      <c r="C13" s="23" t="s">
        <v>576</v>
      </c>
      <c r="D13" s="25">
        <f t="shared" si="1"/>
        <v>155150</v>
      </c>
      <c r="E13" s="26">
        <f>E72</f>
        <v>5150</v>
      </c>
      <c r="F13" s="26">
        <f>F72</f>
        <v>150000</v>
      </c>
      <c r="G13" s="26">
        <f>G72</f>
        <v>0</v>
      </c>
      <c r="H13" s="26">
        <f>H72</f>
        <v>0</v>
      </c>
      <c r="I13" s="27">
        <f t="shared" si="0"/>
        <v>0</v>
      </c>
      <c r="J13" s="295">
        <f>J72</f>
        <v>0</v>
      </c>
      <c r="K13" s="26">
        <f>K72</f>
        <v>0</v>
      </c>
      <c r="L13" s="26">
        <f>L72</f>
        <v>0</v>
      </c>
      <c r="M13" s="299">
        <f>M72</f>
        <v>0</v>
      </c>
      <c r="O13" s="138">
        <v>31091867</v>
      </c>
      <c r="P13" s="138" t="s">
        <v>540</v>
      </c>
    </row>
    <row r="14" spans="1:13" ht="19.5" customHeight="1">
      <c r="A14" s="311"/>
      <c r="B14" s="22">
        <v>75023</v>
      </c>
      <c r="C14" s="23" t="s">
        <v>7</v>
      </c>
      <c r="D14" s="25">
        <f>SUM(E14:H14)</f>
        <v>1042855</v>
      </c>
      <c r="E14" s="26">
        <f>E75</f>
        <v>512855</v>
      </c>
      <c r="F14" s="26">
        <f>F75</f>
        <v>530000</v>
      </c>
      <c r="G14" s="26">
        <f>G75</f>
        <v>0</v>
      </c>
      <c r="H14" s="26">
        <f>H75</f>
        <v>0</v>
      </c>
      <c r="I14" s="27">
        <f t="shared" si="0"/>
        <v>0</v>
      </c>
      <c r="J14" s="295">
        <f>J75</f>
        <v>0</v>
      </c>
      <c r="K14" s="26">
        <f>K75</f>
        <v>0</v>
      </c>
      <c r="L14" s="26">
        <f>L75</f>
        <v>0</v>
      </c>
      <c r="M14" s="26">
        <f>M75</f>
        <v>0</v>
      </c>
    </row>
    <row r="15" spans="1:13" ht="19.5" customHeight="1">
      <c r="A15" s="311"/>
      <c r="B15" s="22" t="str">
        <f>RIGHT(B81,5)</f>
        <v>75412</v>
      </c>
      <c r="C15" s="23" t="s">
        <v>263</v>
      </c>
      <c r="D15" s="25">
        <f>SUM(E15:H15)</f>
        <v>21800</v>
      </c>
      <c r="E15" s="26">
        <f>E81</f>
        <v>0</v>
      </c>
      <c r="F15" s="26">
        <f>F81</f>
        <v>21800</v>
      </c>
      <c r="G15" s="26">
        <f>G81</f>
        <v>0</v>
      </c>
      <c r="H15" s="28">
        <f>H81</f>
        <v>0</v>
      </c>
      <c r="I15" s="27">
        <f t="shared" si="0"/>
        <v>0</v>
      </c>
      <c r="J15" s="295">
        <f>J81</f>
        <v>0</v>
      </c>
      <c r="K15" s="26">
        <f>K81</f>
        <v>0</v>
      </c>
      <c r="L15" s="26">
        <f>L81</f>
        <v>0</v>
      </c>
      <c r="M15" s="299">
        <f>M81</f>
        <v>0</v>
      </c>
    </row>
    <row r="16" spans="1:13" ht="19.5" customHeight="1">
      <c r="A16" s="311"/>
      <c r="B16" s="22">
        <v>75416</v>
      </c>
      <c r="C16" s="23" t="s">
        <v>264</v>
      </c>
      <c r="D16" s="25">
        <f>SUM(E16:H16)</f>
        <v>58000</v>
      </c>
      <c r="E16" s="26">
        <f>E83</f>
        <v>58000</v>
      </c>
      <c r="F16" s="26">
        <f>F83</f>
        <v>0</v>
      </c>
      <c r="G16" s="26">
        <f>G83</f>
        <v>0</v>
      </c>
      <c r="H16" s="26">
        <f>H83</f>
        <v>0</v>
      </c>
      <c r="I16" s="27">
        <f t="shared" si="0"/>
        <v>0</v>
      </c>
      <c r="J16" s="295">
        <f>J83</f>
        <v>0</v>
      </c>
      <c r="K16" s="26">
        <f>K83</f>
        <v>0</v>
      </c>
      <c r="L16" s="26">
        <f>L83</f>
        <v>0</v>
      </c>
      <c r="M16" s="299">
        <f>M83</f>
        <v>0</v>
      </c>
    </row>
    <row r="17" spans="1:13" ht="19.5" customHeight="1">
      <c r="A17" s="311"/>
      <c r="B17" s="22" t="str">
        <f>RIGHT(B86,5)</f>
        <v>75495</v>
      </c>
      <c r="C17" s="23" t="s">
        <v>559</v>
      </c>
      <c r="D17" s="25">
        <f>SUM(E17:H17)</f>
        <v>194000</v>
      </c>
      <c r="E17" s="26">
        <f>E86</f>
        <v>30000</v>
      </c>
      <c r="F17" s="26">
        <f>F86</f>
        <v>164000</v>
      </c>
      <c r="G17" s="26">
        <f>G86</f>
        <v>0</v>
      </c>
      <c r="H17" s="28">
        <f>H86</f>
        <v>0</v>
      </c>
      <c r="I17" s="27">
        <f t="shared" si="0"/>
        <v>0</v>
      </c>
      <c r="J17" s="295">
        <f>J86</f>
        <v>0</v>
      </c>
      <c r="K17" s="26">
        <f>K86</f>
        <v>0</v>
      </c>
      <c r="L17" s="26">
        <f>L86</f>
        <v>0</v>
      </c>
      <c r="M17" s="26">
        <f>M86</f>
        <v>0</v>
      </c>
    </row>
    <row r="18" spans="1:18" ht="19.5" customHeight="1">
      <c r="A18" s="311"/>
      <c r="B18" s="22" t="str">
        <f>RIGHT(B88,5)</f>
        <v>80101</v>
      </c>
      <c r="C18" s="23" t="s">
        <v>265</v>
      </c>
      <c r="D18" s="25">
        <f t="shared" si="1"/>
        <v>1970000</v>
      </c>
      <c r="E18" s="26">
        <f>E88</f>
        <v>91350</v>
      </c>
      <c r="F18" s="26">
        <f>F88</f>
        <v>939650</v>
      </c>
      <c r="G18" s="26">
        <f>G88</f>
        <v>939000</v>
      </c>
      <c r="H18" s="26">
        <f>H88</f>
        <v>0</v>
      </c>
      <c r="I18" s="27">
        <f t="shared" si="0"/>
        <v>0</v>
      </c>
      <c r="J18" s="295">
        <f>J88</f>
        <v>0</v>
      </c>
      <c r="K18" s="26">
        <f>K88</f>
        <v>0</v>
      </c>
      <c r="L18" s="26">
        <f>L88</f>
        <v>0</v>
      </c>
      <c r="M18" s="299">
        <f>M88</f>
        <v>0</v>
      </c>
      <c r="R18" s="138" t="e">
        <f>F6+#REF!</f>
        <v>#REF!</v>
      </c>
    </row>
    <row r="19" spans="1:16" ht="19.5" customHeight="1">
      <c r="A19" s="311"/>
      <c r="B19" s="22" t="str">
        <f>RIGHT(B95,5)</f>
        <v>80104</v>
      </c>
      <c r="C19" s="23" t="s">
        <v>560</v>
      </c>
      <c r="D19" s="25">
        <f t="shared" si="1"/>
        <v>1548675</v>
      </c>
      <c r="E19" s="28">
        <f>E95</f>
        <v>803400</v>
      </c>
      <c r="F19" s="28">
        <f>F95</f>
        <v>436275</v>
      </c>
      <c r="G19" s="28">
        <f>G95</f>
        <v>309000</v>
      </c>
      <c r="H19" s="28">
        <f>H95</f>
        <v>0</v>
      </c>
      <c r="I19" s="27">
        <f t="shared" si="0"/>
        <v>0</v>
      </c>
      <c r="J19" s="340">
        <f>J95</f>
        <v>0</v>
      </c>
      <c r="K19" s="28">
        <f>K95</f>
        <v>0</v>
      </c>
      <c r="L19" s="26">
        <f>L95</f>
        <v>0</v>
      </c>
      <c r="M19" s="299">
        <f>M95</f>
        <v>0</v>
      </c>
      <c r="O19" s="290">
        <f>O12-O13</f>
        <v>-5689</v>
      </c>
      <c r="P19" s="290" t="e">
        <f>O13-R18</f>
        <v>#REF!</v>
      </c>
    </row>
    <row r="20" spans="1:16" ht="19.5" customHeight="1">
      <c r="A20" s="311"/>
      <c r="B20" s="22">
        <v>80110</v>
      </c>
      <c r="C20" s="23" t="s">
        <v>266</v>
      </c>
      <c r="D20" s="25">
        <f t="shared" si="1"/>
        <v>12870</v>
      </c>
      <c r="E20" s="28">
        <f>E107</f>
        <v>12870</v>
      </c>
      <c r="F20" s="28">
        <f>F107</f>
        <v>0</v>
      </c>
      <c r="G20" s="28">
        <f>G107</f>
        <v>0</v>
      </c>
      <c r="H20" s="28">
        <f>H107</f>
        <v>0</v>
      </c>
      <c r="I20" s="27">
        <f t="shared" si="0"/>
        <v>0</v>
      </c>
      <c r="J20" s="28">
        <f>J107</f>
        <v>0</v>
      </c>
      <c r="K20" s="28">
        <f>K107</f>
        <v>0</v>
      </c>
      <c r="L20" s="28">
        <f>L107</f>
        <v>0</v>
      </c>
      <c r="M20" s="28">
        <f>M107</f>
        <v>0</v>
      </c>
      <c r="O20" s="290"/>
      <c r="P20" s="290"/>
    </row>
    <row r="21" spans="1:16" ht="19.5" customHeight="1">
      <c r="A21" s="311"/>
      <c r="B21" s="22">
        <v>85153</v>
      </c>
      <c r="C21" s="23" t="s">
        <v>179</v>
      </c>
      <c r="D21" s="25">
        <f t="shared" si="1"/>
        <v>17039</v>
      </c>
      <c r="E21" s="28">
        <f>E110</f>
        <v>17039</v>
      </c>
      <c r="F21" s="28">
        <f>F110</f>
        <v>0</v>
      </c>
      <c r="G21" s="28">
        <f>G110</f>
        <v>0</v>
      </c>
      <c r="H21" s="28">
        <f>H110</f>
        <v>0</v>
      </c>
      <c r="I21" s="27">
        <f t="shared" si="0"/>
        <v>0</v>
      </c>
      <c r="J21" s="28">
        <f>J110</f>
        <v>0</v>
      </c>
      <c r="K21" s="28">
        <f>K110</f>
        <v>0</v>
      </c>
      <c r="L21" s="28">
        <f>L110</f>
        <v>0</v>
      </c>
      <c r="M21" s="28">
        <f>M110</f>
        <v>0</v>
      </c>
      <c r="O21" s="290"/>
      <c r="P21" s="290"/>
    </row>
    <row r="22" spans="1:16" ht="19.5" customHeight="1">
      <c r="A22" s="311"/>
      <c r="B22" s="22" t="str">
        <f>RIGHT(B112,5)</f>
        <v>85154</v>
      </c>
      <c r="C22" s="23" t="s">
        <v>44</v>
      </c>
      <c r="D22" s="25">
        <f t="shared" si="1"/>
        <v>205000</v>
      </c>
      <c r="E22" s="28">
        <f>E112</f>
        <v>160000</v>
      </c>
      <c r="F22" s="28">
        <f>F112</f>
        <v>45000</v>
      </c>
      <c r="G22" s="28">
        <f>G112</f>
        <v>0</v>
      </c>
      <c r="H22" s="28">
        <f>H112</f>
        <v>0</v>
      </c>
      <c r="I22" s="27">
        <f t="shared" si="0"/>
        <v>0</v>
      </c>
      <c r="J22" s="340">
        <f>J112</f>
        <v>0</v>
      </c>
      <c r="K22" s="28">
        <f>K112</f>
        <v>0</v>
      </c>
      <c r="L22" s="26">
        <f>L112</f>
        <v>0</v>
      </c>
      <c r="M22" s="299">
        <f>M112</f>
        <v>0</v>
      </c>
      <c r="O22" s="290"/>
      <c r="P22" s="290"/>
    </row>
    <row r="23" spans="1:16" ht="19.5" customHeight="1">
      <c r="A23" s="311"/>
      <c r="B23" s="22">
        <v>85203</v>
      </c>
      <c r="C23" s="23" t="s">
        <v>222</v>
      </c>
      <c r="D23" s="25">
        <f t="shared" si="1"/>
        <v>3700</v>
      </c>
      <c r="E23" s="28">
        <f>E115</f>
        <v>3700</v>
      </c>
      <c r="F23" s="28">
        <f>F115</f>
        <v>0</v>
      </c>
      <c r="G23" s="28">
        <f>G115</f>
        <v>0</v>
      </c>
      <c r="H23" s="28">
        <f>H115</f>
        <v>0</v>
      </c>
      <c r="I23" s="27">
        <f t="shared" si="0"/>
        <v>0</v>
      </c>
      <c r="J23" s="28">
        <f>J115</f>
        <v>0</v>
      </c>
      <c r="K23" s="28">
        <f>K115</f>
        <v>0</v>
      </c>
      <c r="L23" s="28">
        <f>L115</f>
        <v>0</v>
      </c>
      <c r="M23" s="28">
        <f>M115</f>
        <v>0</v>
      </c>
      <c r="O23" s="290"/>
      <c r="P23" s="290"/>
    </row>
    <row r="24" spans="1:13" ht="19.5" customHeight="1">
      <c r="A24" s="311"/>
      <c r="B24" s="22" t="str">
        <f>RIGHT(B117,5)</f>
        <v>85219</v>
      </c>
      <c r="C24" s="23" t="s">
        <v>268</v>
      </c>
      <c r="D24" s="25">
        <f>SUM(E24:H24)</f>
        <v>45000</v>
      </c>
      <c r="E24" s="26">
        <f>E117</f>
        <v>0</v>
      </c>
      <c r="F24" s="26">
        <f>F117</f>
        <v>45000</v>
      </c>
      <c r="G24" s="26">
        <f>G117</f>
        <v>0</v>
      </c>
      <c r="H24" s="28">
        <f>H117</f>
        <v>0</v>
      </c>
      <c r="I24" s="27">
        <f t="shared" si="0"/>
        <v>0</v>
      </c>
      <c r="J24" s="295">
        <f>J117</f>
        <v>0</v>
      </c>
      <c r="K24" s="26">
        <f>K117</f>
        <v>0</v>
      </c>
      <c r="L24" s="26">
        <f>L117</f>
        <v>0</v>
      </c>
      <c r="M24" s="26">
        <f>M117</f>
        <v>0</v>
      </c>
    </row>
    <row r="25" spans="1:13" ht="19.5" customHeight="1">
      <c r="A25" s="311"/>
      <c r="B25" s="22">
        <v>85305</v>
      </c>
      <c r="C25" s="23" t="s">
        <v>132</v>
      </c>
      <c r="D25" s="25">
        <f>SUM(E25:H25)</f>
        <v>35000</v>
      </c>
      <c r="E25" s="26">
        <f>E119</f>
        <v>0</v>
      </c>
      <c r="F25" s="26">
        <f>F119</f>
        <v>35000</v>
      </c>
      <c r="G25" s="26">
        <f>G119</f>
        <v>0</v>
      </c>
      <c r="H25" s="26">
        <f>H119</f>
        <v>0</v>
      </c>
      <c r="I25" s="27">
        <f t="shared" si="0"/>
        <v>0</v>
      </c>
      <c r="J25" s="26">
        <f>J119</f>
        <v>0</v>
      </c>
      <c r="K25" s="26">
        <f>K119</f>
        <v>0</v>
      </c>
      <c r="L25" s="26">
        <f>L119</f>
        <v>0</v>
      </c>
      <c r="M25" s="26">
        <f>M119</f>
        <v>0</v>
      </c>
    </row>
    <row r="26" spans="1:13" ht="19.5" customHeight="1">
      <c r="A26" s="311"/>
      <c r="B26" s="22" t="str">
        <f>RIGHT(B121,5)</f>
        <v>90001</v>
      </c>
      <c r="C26" s="23" t="s">
        <v>269</v>
      </c>
      <c r="D26" s="25">
        <f t="shared" si="1"/>
        <v>600000</v>
      </c>
      <c r="E26" s="26">
        <f>E121</f>
        <v>0</v>
      </c>
      <c r="F26" s="26">
        <f>F121</f>
        <v>600000</v>
      </c>
      <c r="G26" s="26">
        <f>G121</f>
        <v>0</v>
      </c>
      <c r="H26" s="28">
        <f>H121</f>
        <v>0</v>
      </c>
      <c r="I26" s="27">
        <f aca="true" t="shared" si="2" ref="I26:I34">SUM(J26:M26)</f>
        <v>0</v>
      </c>
      <c r="J26" s="295">
        <f>J121</f>
        <v>0</v>
      </c>
      <c r="K26" s="26">
        <f>K121</f>
        <v>0</v>
      </c>
      <c r="L26" s="26">
        <f>L121</f>
        <v>0</v>
      </c>
      <c r="M26" s="299">
        <f>M121</f>
        <v>0</v>
      </c>
    </row>
    <row r="27" spans="1:16" ht="19.5" customHeight="1">
      <c r="A27" s="311"/>
      <c r="B27" s="22" t="str">
        <f>RIGHT(B123,5)</f>
        <v>90013</v>
      </c>
      <c r="C27" s="23" t="s">
        <v>270</v>
      </c>
      <c r="D27" s="25">
        <f t="shared" si="1"/>
        <v>100000</v>
      </c>
      <c r="E27" s="26">
        <f>E123</f>
        <v>0</v>
      </c>
      <c r="F27" s="26">
        <f>F123</f>
        <v>100000</v>
      </c>
      <c r="G27" s="26">
        <f>G123</f>
        <v>0</v>
      </c>
      <c r="H27" s="28">
        <f>H123</f>
        <v>0</v>
      </c>
      <c r="I27" s="27">
        <f t="shared" si="2"/>
        <v>0</v>
      </c>
      <c r="J27" s="295">
        <f>J123</f>
        <v>0</v>
      </c>
      <c r="K27" s="26">
        <f>K123</f>
        <v>0</v>
      </c>
      <c r="L27" s="26">
        <f>L123</f>
        <v>0</v>
      </c>
      <c r="M27" s="299">
        <f>M123</f>
        <v>0</v>
      </c>
      <c r="O27" s="138">
        <v>5689</v>
      </c>
      <c r="P27" s="138" t="s">
        <v>546</v>
      </c>
    </row>
    <row r="28" spans="1:16" ht="19.5" customHeight="1">
      <c r="A28" s="311"/>
      <c r="B28" s="22" t="str">
        <f>RIGHT(B125,5)</f>
        <v>90015</v>
      </c>
      <c r="C28" s="23" t="s">
        <v>271</v>
      </c>
      <c r="D28" s="25">
        <f t="shared" si="1"/>
        <v>100000</v>
      </c>
      <c r="E28" s="26">
        <f>E125</f>
        <v>50000</v>
      </c>
      <c r="F28" s="26">
        <f>F125</f>
        <v>50000</v>
      </c>
      <c r="G28" s="26">
        <f>G125</f>
        <v>0</v>
      </c>
      <c r="H28" s="28">
        <f>H125</f>
        <v>0</v>
      </c>
      <c r="I28" s="27">
        <f t="shared" si="2"/>
        <v>0</v>
      </c>
      <c r="J28" s="295">
        <f>J125</f>
        <v>0</v>
      </c>
      <c r="K28" s="26">
        <f>K125</f>
        <v>0</v>
      </c>
      <c r="L28" s="26">
        <f>L125</f>
        <v>0</v>
      </c>
      <c r="M28" s="299">
        <f>M125</f>
        <v>0</v>
      </c>
      <c r="O28" s="138">
        <v>0</v>
      </c>
      <c r="P28" s="138" t="s">
        <v>543</v>
      </c>
    </row>
    <row r="29" spans="1:15" ht="19.5" customHeight="1">
      <c r="A29" s="311"/>
      <c r="B29" s="22" t="str">
        <f>RIGHT(B128,5)</f>
        <v>90095</v>
      </c>
      <c r="C29" s="23" t="s">
        <v>272</v>
      </c>
      <c r="D29" s="25">
        <f t="shared" si="1"/>
        <v>4278000</v>
      </c>
      <c r="E29" s="26">
        <f>E128</f>
        <v>783000</v>
      </c>
      <c r="F29" s="26">
        <f>F128</f>
        <v>3016800</v>
      </c>
      <c r="G29" s="26">
        <f>G128</f>
        <v>478200</v>
      </c>
      <c r="H29" s="26">
        <f>H128</f>
        <v>0</v>
      </c>
      <c r="I29" s="27">
        <f t="shared" si="2"/>
        <v>0</v>
      </c>
      <c r="J29" s="26">
        <f>J128</f>
        <v>0</v>
      </c>
      <c r="K29" s="26">
        <f>K128</f>
        <v>0</v>
      </c>
      <c r="L29" s="26">
        <f>L128</f>
        <v>0</v>
      </c>
      <c r="M29" s="26">
        <f>M128</f>
        <v>0</v>
      </c>
      <c r="O29" s="138">
        <f>SUM(O24:O28)</f>
        <v>5689</v>
      </c>
    </row>
    <row r="30" spans="1:18" ht="19.5" customHeight="1">
      <c r="A30" s="311"/>
      <c r="B30" s="22" t="str">
        <f>RIGHT(B156,5)</f>
        <v>92109</v>
      </c>
      <c r="C30" s="23" t="s">
        <v>519</v>
      </c>
      <c r="D30" s="25">
        <f t="shared" si="1"/>
        <v>400000</v>
      </c>
      <c r="E30" s="26">
        <f>E156</f>
        <v>0</v>
      </c>
      <c r="F30" s="26">
        <f>F156</f>
        <v>400000</v>
      </c>
      <c r="G30" s="26">
        <f>G156</f>
        <v>0</v>
      </c>
      <c r="H30" s="28">
        <f>H156</f>
        <v>0</v>
      </c>
      <c r="I30" s="27">
        <f t="shared" si="2"/>
        <v>0</v>
      </c>
      <c r="J30" s="295">
        <f>J156</f>
        <v>0</v>
      </c>
      <c r="K30" s="26">
        <f>K156</f>
        <v>0</v>
      </c>
      <c r="L30" s="26">
        <f>L156</f>
        <v>0</v>
      </c>
      <c r="M30" s="26">
        <f>M156</f>
        <v>0</v>
      </c>
      <c r="Q30" s="138"/>
      <c r="R30" s="138"/>
    </row>
    <row r="31" spans="1:18" ht="26.25" customHeight="1">
      <c r="A31" s="311"/>
      <c r="B31" s="22">
        <v>92195</v>
      </c>
      <c r="C31" s="23" t="s">
        <v>226</v>
      </c>
      <c r="D31" s="25">
        <f t="shared" si="1"/>
        <v>1600000</v>
      </c>
      <c r="E31" s="26">
        <f>E158</f>
        <v>22266</v>
      </c>
      <c r="F31" s="26">
        <f>F158</f>
        <v>0</v>
      </c>
      <c r="G31" s="26">
        <f>G158</f>
        <v>0</v>
      </c>
      <c r="H31" s="26">
        <f>H158</f>
        <v>1577734</v>
      </c>
      <c r="I31" s="27">
        <f t="shared" si="2"/>
        <v>0</v>
      </c>
      <c r="J31" s="26">
        <f>J158</f>
        <v>0</v>
      </c>
      <c r="K31" s="26">
        <f>K158</f>
        <v>0</v>
      </c>
      <c r="L31" s="26">
        <f>L158</f>
        <v>0</v>
      </c>
      <c r="M31" s="26">
        <f>M158</f>
        <v>0</v>
      </c>
      <c r="Q31" s="138"/>
      <c r="R31" s="138"/>
    </row>
    <row r="32" spans="1:18" ht="19.5" customHeight="1">
      <c r="A32" s="311"/>
      <c r="B32" s="22" t="str">
        <f>RIGHT(B161,5)</f>
        <v>92601</v>
      </c>
      <c r="C32" s="23" t="s">
        <v>1</v>
      </c>
      <c r="D32" s="25">
        <f t="shared" si="1"/>
        <v>1280000</v>
      </c>
      <c r="E32" s="26">
        <f>E161</f>
        <v>1130000</v>
      </c>
      <c r="F32" s="26">
        <f>F161</f>
        <v>150000</v>
      </c>
      <c r="G32" s="26">
        <f>G161</f>
        <v>0</v>
      </c>
      <c r="H32" s="26">
        <f>H161</f>
        <v>0</v>
      </c>
      <c r="I32" s="27">
        <f t="shared" si="2"/>
        <v>0</v>
      </c>
      <c r="J32" s="295">
        <f>J161</f>
        <v>0</v>
      </c>
      <c r="K32" s="26">
        <f>K161</f>
        <v>0</v>
      </c>
      <c r="L32" s="26">
        <f>L161</f>
        <v>0</v>
      </c>
      <c r="M32" s="26">
        <f>M161</f>
        <v>0</v>
      </c>
      <c r="Q32" s="138"/>
      <c r="R32" s="138"/>
    </row>
    <row r="33" spans="1:18" ht="19.5" customHeight="1">
      <c r="A33" s="311"/>
      <c r="B33" s="22" t="str">
        <f>RIGHT(B165,5)</f>
        <v>92604</v>
      </c>
      <c r="C33" s="23" t="s">
        <v>274</v>
      </c>
      <c r="D33" s="25">
        <f t="shared" si="1"/>
        <v>640000</v>
      </c>
      <c r="E33" s="26">
        <f>E165</f>
        <v>0</v>
      </c>
      <c r="F33" s="26">
        <f>F165</f>
        <v>640000</v>
      </c>
      <c r="G33" s="26">
        <f>G165</f>
        <v>0</v>
      </c>
      <c r="H33" s="28">
        <f>H165</f>
        <v>0</v>
      </c>
      <c r="I33" s="27">
        <f t="shared" si="2"/>
        <v>0</v>
      </c>
      <c r="J33" s="295">
        <f>J165</f>
        <v>0</v>
      </c>
      <c r="K33" s="26">
        <f>K165</f>
        <v>0</v>
      </c>
      <c r="L33" s="26">
        <f>L165</f>
        <v>0</v>
      </c>
      <c r="M33" s="299">
        <f>M165</f>
        <v>0</v>
      </c>
      <c r="Q33" s="138"/>
      <c r="R33" s="138"/>
    </row>
    <row r="34" spans="1:18" ht="19.5" customHeight="1">
      <c r="A34" s="311"/>
      <c r="B34" s="22" t="str">
        <f>RIGHT(B176,5)</f>
        <v>92695</v>
      </c>
      <c r="C34" s="23" t="s">
        <v>47</v>
      </c>
      <c r="D34" s="25">
        <f t="shared" si="1"/>
        <v>770000</v>
      </c>
      <c r="E34" s="26">
        <f>E176</f>
        <v>132524</v>
      </c>
      <c r="F34" s="26">
        <f>F176</f>
        <v>637476</v>
      </c>
      <c r="G34" s="26">
        <f>G176</f>
        <v>0</v>
      </c>
      <c r="H34" s="26">
        <f>H176</f>
        <v>0</v>
      </c>
      <c r="I34" s="27">
        <f t="shared" si="2"/>
        <v>0</v>
      </c>
      <c r="J34" s="295">
        <f>J176</f>
        <v>0</v>
      </c>
      <c r="K34" s="26">
        <f>K176</f>
        <v>0</v>
      </c>
      <c r="L34" s="26">
        <f>L176</f>
        <v>0</v>
      </c>
      <c r="M34" s="299">
        <f>M176</f>
        <v>0</v>
      </c>
      <c r="Q34" s="138"/>
      <c r="R34" s="138"/>
    </row>
    <row r="35" spans="1:14" ht="32.25" customHeight="1">
      <c r="A35" s="6"/>
      <c r="B35" s="3" t="s">
        <v>340</v>
      </c>
      <c r="C35" s="6" t="s">
        <v>342</v>
      </c>
      <c r="D35" s="38">
        <f>SUM(E35:H35)</f>
        <v>72000</v>
      </c>
      <c r="E35" s="11">
        <f>SUM(E36:E36)</f>
        <v>0</v>
      </c>
      <c r="F35" s="11">
        <f>SUM(F36:F36)</f>
        <v>72000</v>
      </c>
      <c r="G35" s="11">
        <f>SUM(G36:G36)</f>
        <v>0</v>
      </c>
      <c r="H35" s="12">
        <f>SUM(H36:H36)</f>
        <v>0</v>
      </c>
      <c r="I35" s="20">
        <f aca="true" t="shared" si="3" ref="I35:I41">SUM(J35:M35)</f>
        <v>0</v>
      </c>
      <c r="J35" s="77">
        <f>SUM(J36:J36)</f>
        <v>0</v>
      </c>
      <c r="K35" s="11">
        <f>SUM(K36:K36)</f>
        <v>0</v>
      </c>
      <c r="L35" s="11">
        <f>SUM(L36:L36)</f>
        <v>0</v>
      </c>
      <c r="M35" s="11">
        <f>SUM(M36:M36)</f>
        <v>0</v>
      </c>
      <c r="N35" s="327"/>
    </row>
    <row r="36" spans="1:14" ht="18.75" customHeight="1">
      <c r="A36" s="37" t="s">
        <v>278</v>
      </c>
      <c r="B36" s="22" t="s">
        <v>329</v>
      </c>
      <c r="C36" s="23" t="s">
        <v>343</v>
      </c>
      <c r="D36" s="83">
        <f>SUM(E36:H36)</f>
        <v>72000</v>
      </c>
      <c r="E36" s="69">
        <v>0</v>
      </c>
      <c r="F36" s="69">
        <v>72000</v>
      </c>
      <c r="G36" s="69">
        <v>0</v>
      </c>
      <c r="H36" s="70">
        <v>0</v>
      </c>
      <c r="I36" s="27">
        <f t="shared" si="3"/>
        <v>0</v>
      </c>
      <c r="J36" s="71">
        <v>0</v>
      </c>
      <c r="K36" s="26"/>
      <c r="L36" s="24">
        <v>0</v>
      </c>
      <c r="M36" s="299">
        <v>0</v>
      </c>
      <c r="N36" s="327"/>
    </row>
    <row r="37" spans="1:18" ht="28.5" customHeight="1">
      <c r="A37" s="37"/>
      <c r="B37" s="3" t="s">
        <v>276</v>
      </c>
      <c r="C37" s="6" t="s">
        <v>277</v>
      </c>
      <c r="D37" s="38">
        <f>SUM(E37:H37)</f>
        <v>10828488</v>
      </c>
      <c r="E37" s="11">
        <f>E42+E43+E44+E45+E46+E47+E48+E50+E51+E52+E38+E53+E54+E57+E58+E55+E56</f>
        <v>222080</v>
      </c>
      <c r="F37" s="11">
        <f>F42+F43+F44+F45+F46+F47+F48+F50+F51+F52+F38+F53+F54+F57+F58+F55+F56</f>
        <v>7602406</v>
      </c>
      <c r="G37" s="11">
        <f>G42+G43+G44+G45+G46+G47+G48+G50+G51+G52+G38+G53+G54+G57+G58+G55+G56</f>
        <v>735000</v>
      </c>
      <c r="H37" s="11">
        <f>H42+H43+H44+H45+H46+H47+H48+H50+H51+H52+H38+H53+H54+H57+H58+H55+H56</f>
        <v>2269002</v>
      </c>
      <c r="I37" s="36">
        <f t="shared" si="3"/>
        <v>0</v>
      </c>
      <c r="J37" s="11">
        <f>J42+J43+J44+J45+J46+J47+J48+J50+J51+J52+J38+J53+J54+J57+J58+J55+J56</f>
        <v>0</v>
      </c>
      <c r="K37" s="11">
        <f>K42+K43+K44+K45+K46+K47+K48+K50+K51+K52+K38+K53+K54+K57+K58+K55+K56</f>
        <v>0</v>
      </c>
      <c r="L37" s="11">
        <f>L42+L43+L44+L45+L46+L47+L48+L50+L51+L52+L38+L53+L54+L57+L58+L55+L56</f>
        <v>0</v>
      </c>
      <c r="M37" s="11">
        <f>M42+M43+M44+M45+M46+M47+M48+M50+M51+M52+M38+M53+M54+M57+M58+M55+M56</f>
        <v>0</v>
      </c>
      <c r="P37" s="138" t="s">
        <v>548</v>
      </c>
      <c r="Q37" s="138">
        <v>0</v>
      </c>
      <c r="R37" s="138"/>
    </row>
    <row r="38" spans="1:18" ht="32.25" customHeight="1">
      <c r="A38" s="41" t="s">
        <v>278</v>
      </c>
      <c r="B38" s="39" t="s">
        <v>283</v>
      </c>
      <c r="C38" s="291" t="s">
        <v>65</v>
      </c>
      <c r="D38" s="43">
        <f t="shared" si="1"/>
        <v>100000</v>
      </c>
      <c r="E38" s="44">
        <v>0</v>
      </c>
      <c r="F38" s="44">
        <v>100000</v>
      </c>
      <c r="G38" s="44">
        <v>0</v>
      </c>
      <c r="H38" s="45">
        <v>0</v>
      </c>
      <c r="I38" s="46">
        <f t="shared" si="3"/>
        <v>0</v>
      </c>
      <c r="J38" s="47">
        <v>0</v>
      </c>
      <c r="K38" s="44"/>
      <c r="L38" s="48">
        <v>0</v>
      </c>
      <c r="M38" s="299">
        <v>0</v>
      </c>
      <c r="P38" s="138" t="s">
        <v>549</v>
      </c>
      <c r="Q38" s="138">
        <v>120000</v>
      </c>
      <c r="R38" s="138"/>
    </row>
    <row r="39" spans="1:19" ht="21" customHeight="1">
      <c r="A39" s="467" t="s">
        <v>280</v>
      </c>
      <c r="B39" s="50" t="s">
        <v>283</v>
      </c>
      <c r="C39" s="51" t="s">
        <v>292</v>
      </c>
      <c r="D39" s="61">
        <f t="shared" si="1"/>
        <v>646239</v>
      </c>
      <c r="E39" s="54">
        <v>0</v>
      </c>
      <c r="F39" s="54">
        <v>646239</v>
      </c>
      <c r="G39" s="54">
        <v>0</v>
      </c>
      <c r="H39" s="54"/>
      <c r="I39" s="54">
        <f t="shared" si="3"/>
        <v>0</v>
      </c>
      <c r="J39" s="54">
        <v>0</v>
      </c>
      <c r="K39" s="58"/>
      <c r="L39" s="59">
        <v>0</v>
      </c>
      <c r="M39" s="297"/>
      <c r="O39" s="288"/>
      <c r="P39" s="288" t="s">
        <v>550</v>
      </c>
      <c r="Q39" s="288">
        <v>12000</v>
      </c>
      <c r="R39" s="288"/>
      <c r="S39" s="168"/>
    </row>
    <row r="40" spans="1:19" ht="18" customHeight="1">
      <c r="A40" s="468"/>
      <c r="B40" s="294" t="s">
        <v>319</v>
      </c>
      <c r="C40" s="291"/>
      <c r="D40" s="43">
        <f t="shared" si="1"/>
        <v>2269002</v>
      </c>
      <c r="E40" s="144"/>
      <c r="F40" s="144"/>
      <c r="G40" s="144"/>
      <c r="H40" s="144">
        <v>2269002</v>
      </c>
      <c r="I40" s="144">
        <f t="shared" si="3"/>
        <v>0</v>
      </c>
      <c r="J40" s="144"/>
      <c r="K40" s="44"/>
      <c r="L40" s="48"/>
      <c r="M40" s="169"/>
      <c r="O40" s="288"/>
      <c r="P40" s="288"/>
      <c r="Q40" s="288"/>
      <c r="R40" s="288"/>
      <c r="S40" s="168"/>
    </row>
    <row r="41" spans="1:19" ht="21" customHeight="1">
      <c r="A41" s="468"/>
      <c r="B41" s="140" t="s">
        <v>370</v>
      </c>
      <c r="C41" s="346"/>
      <c r="D41" s="43">
        <f t="shared" si="1"/>
        <v>766095</v>
      </c>
      <c r="E41" s="63"/>
      <c r="F41" s="63">
        <v>766095</v>
      </c>
      <c r="G41" s="63"/>
      <c r="H41" s="63"/>
      <c r="I41" s="144">
        <f t="shared" si="3"/>
        <v>0</v>
      </c>
      <c r="J41" s="63"/>
      <c r="K41" s="32"/>
      <c r="L41" s="31"/>
      <c r="M41" s="165"/>
      <c r="O41" s="288"/>
      <c r="P41" s="288"/>
      <c r="Q41" s="288"/>
      <c r="R41" s="288"/>
      <c r="S41" s="168"/>
    </row>
    <row r="42" spans="1:13" ht="16.5" customHeight="1">
      <c r="A42" s="469"/>
      <c r="B42" s="34" t="s">
        <v>461</v>
      </c>
      <c r="C42" s="291"/>
      <c r="D42" s="38">
        <f>SUM(D39:D41)</f>
        <v>3681336</v>
      </c>
      <c r="E42" s="69"/>
      <c r="F42" s="11">
        <f>SUM(F39:F41)</f>
        <v>1412334</v>
      </c>
      <c r="G42" s="11">
        <f>G39+G40</f>
        <v>0</v>
      </c>
      <c r="H42" s="12">
        <f>H39+H40</f>
        <v>2269002</v>
      </c>
      <c r="I42" s="20">
        <f>SUM(I39:I41)</f>
        <v>0</v>
      </c>
      <c r="J42" s="71"/>
      <c r="K42" s="26">
        <f>SUM(K39:K41)</f>
        <v>0</v>
      </c>
      <c r="L42" s="24">
        <f>L39+L40</f>
        <v>0</v>
      </c>
      <c r="M42" s="299">
        <f>M39+M40</f>
        <v>0</v>
      </c>
    </row>
    <row r="43" spans="1:18" ht="35.25" customHeight="1">
      <c r="A43" s="49" t="s">
        <v>282</v>
      </c>
      <c r="B43" s="50" t="s">
        <v>283</v>
      </c>
      <c r="C43" s="51" t="s">
        <v>57</v>
      </c>
      <c r="D43" s="61">
        <f t="shared" si="1"/>
        <v>1491152</v>
      </c>
      <c r="E43" s="54">
        <v>0</v>
      </c>
      <c r="F43" s="54">
        <v>1491152</v>
      </c>
      <c r="G43" s="54">
        <v>0</v>
      </c>
      <c r="H43" s="55">
        <v>0</v>
      </c>
      <c r="I43" s="56">
        <f aca="true" t="shared" si="4" ref="I43:I48">SUM(J43:M43)</f>
        <v>0</v>
      </c>
      <c r="J43" s="57">
        <v>0</v>
      </c>
      <c r="K43" s="58"/>
      <c r="L43" s="59">
        <v>0</v>
      </c>
      <c r="M43" s="299">
        <v>0</v>
      </c>
      <c r="P43" s="138" t="s">
        <v>551</v>
      </c>
      <c r="Q43" s="138">
        <v>2500</v>
      </c>
      <c r="R43" s="138"/>
    </row>
    <row r="44" spans="1:18" ht="27.75" customHeight="1">
      <c r="A44" s="49" t="s">
        <v>284</v>
      </c>
      <c r="B44" s="50" t="s">
        <v>283</v>
      </c>
      <c r="C44" s="51" t="s">
        <v>70</v>
      </c>
      <c r="D44" s="61">
        <f t="shared" si="1"/>
        <v>1057000</v>
      </c>
      <c r="E44" s="54"/>
      <c r="F44" s="54">
        <v>1057000</v>
      </c>
      <c r="G44" s="54">
        <v>0</v>
      </c>
      <c r="H44" s="55">
        <v>0</v>
      </c>
      <c r="I44" s="56">
        <f t="shared" si="4"/>
        <v>0</v>
      </c>
      <c r="J44" s="57"/>
      <c r="K44" s="58"/>
      <c r="L44" s="59">
        <v>0</v>
      </c>
      <c r="M44" s="297">
        <v>0</v>
      </c>
      <c r="P44" s="138" t="s">
        <v>552</v>
      </c>
      <c r="Q44" s="138">
        <v>51000</v>
      </c>
      <c r="R44" s="138"/>
    </row>
    <row r="45" spans="1:18" ht="27" customHeight="1">
      <c r="A45" s="49" t="s">
        <v>286</v>
      </c>
      <c r="B45" s="39" t="s">
        <v>283</v>
      </c>
      <c r="C45" s="51" t="s">
        <v>572</v>
      </c>
      <c r="D45" s="61">
        <f t="shared" si="1"/>
        <v>164000</v>
      </c>
      <c r="E45" s="54">
        <v>0</v>
      </c>
      <c r="F45" s="54">
        <v>164000</v>
      </c>
      <c r="G45" s="54">
        <v>0</v>
      </c>
      <c r="H45" s="55">
        <v>0</v>
      </c>
      <c r="I45" s="56">
        <f t="shared" si="4"/>
        <v>0</v>
      </c>
      <c r="J45" s="57">
        <v>0</v>
      </c>
      <c r="K45" s="58"/>
      <c r="L45" s="59">
        <v>0</v>
      </c>
      <c r="M45" s="299">
        <v>0</v>
      </c>
      <c r="Q45" s="138"/>
      <c r="R45" s="138"/>
    </row>
    <row r="46" spans="1:18" ht="28.5" customHeight="1">
      <c r="A46" s="67" t="s">
        <v>287</v>
      </c>
      <c r="B46" s="39" t="s">
        <v>283</v>
      </c>
      <c r="C46" s="23" t="s">
        <v>62</v>
      </c>
      <c r="D46" s="25">
        <f t="shared" si="1"/>
        <v>200000</v>
      </c>
      <c r="E46" s="69">
        <v>0</v>
      </c>
      <c r="F46" s="69">
        <v>200000</v>
      </c>
      <c r="G46" s="69">
        <v>0</v>
      </c>
      <c r="H46" s="70">
        <v>0</v>
      </c>
      <c r="I46" s="27">
        <f t="shared" si="4"/>
        <v>0</v>
      </c>
      <c r="J46" s="71">
        <v>0</v>
      </c>
      <c r="K46" s="26"/>
      <c r="L46" s="24">
        <v>0</v>
      </c>
      <c r="M46" s="299">
        <v>0</v>
      </c>
      <c r="Q46" s="138"/>
      <c r="R46" s="138"/>
    </row>
    <row r="47" spans="1:18" ht="21" customHeight="1">
      <c r="A47" s="49" t="s">
        <v>288</v>
      </c>
      <c r="B47" s="50" t="s">
        <v>283</v>
      </c>
      <c r="C47" s="23" t="s">
        <v>520</v>
      </c>
      <c r="D47" s="61">
        <f t="shared" si="1"/>
        <v>100000</v>
      </c>
      <c r="E47" s="54"/>
      <c r="F47" s="54">
        <v>100000</v>
      </c>
      <c r="G47" s="54">
        <v>0</v>
      </c>
      <c r="H47" s="55">
        <v>0</v>
      </c>
      <c r="I47" s="56">
        <f t="shared" si="4"/>
        <v>0</v>
      </c>
      <c r="J47" s="57"/>
      <c r="K47" s="58"/>
      <c r="L47" s="59">
        <v>0</v>
      </c>
      <c r="M47" s="297">
        <v>0</v>
      </c>
      <c r="Q47" s="138"/>
      <c r="R47" s="138"/>
    </row>
    <row r="48" spans="1:13" ht="39" customHeight="1">
      <c r="A48" s="49" t="s">
        <v>290</v>
      </c>
      <c r="B48" s="50" t="s">
        <v>283</v>
      </c>
      <c r="C48" s="51" t="s">
        <v>573</v>
      </c>
      <c r="D48" s="61">
        <f t="shared" si="1"/>
        <v>985000</v>
      </c>
      <c r="E48" s="54">
        <f>212950-40870</f>
        <v>172080</v>
      </c>
      <c r="F48" s="54">
        <v>567920</v>
      </c>
      <c r="G48" s="54">
        <v>245000</v>
      </c>
      <c r="H48" s="55">
        <v>0</v>
      </c>
      <c r="I48" s="56">
        <f t="shared" si="4"/>
        <v>0</v>
      </c>
      <c r="J48" s="57"/>
      <c r="K48" s="58"/>
      <c r="L48" s="59"/>
      <c r="M48" s="297">
        <v>0</v>
      </c>
    </row>
    <row r="49" spans="1:13" ht="14.25" customHeight="1">
      <c r="A49" s="379"/>
      <c r="B49" s="140"/>
      <c r="C49" s="380"/>
      <c r="D49" s="62"/>
      <c r="E49" s="54" t="s">
        <v>186</v>
      </c>
      <c r="F49" s="63"/>
      <c r="G49" s="63"/>
      <c r="H49" s="64"/>
      <c r="I49" s="65"/>
      <c r="J49" s="66"/>
      <c r="K49" s="32"/>
      <c r="L49" s="31"/>
      <c r="M49" s="165"/>
    </row>
    <row r="50" spans="1:13" ht="36" customHeight="1">
      <c r="A50" s="67" t="s">
        <v>291</v>
      </c>
      <c r="B50" s="39" t="s">
        <v>283</v>
      </c>
      <c r="C50" s="312" t="s">
        <v>126</v>
      </c>
      <c r="D50" s="25">
        <f t="shared" si="1"/>
        <v>100000</v>
      </c>
      <c r="E50" s="69"/>
      <c r="F50" s="69">
        <v>100000</v>
      </c>
      <c r="G50" s="69"/>
      <c r="H50" s="70"/>
      <c r="I50" s="27">
        <f aca="true" t="shared" si="5" ref="I50:I70">SUM(J50:M50)</f>
        <v>0</v>
      </c>
      <c r="J50" s="71"/>
      <c r="K50" s="26"/>
      <c r="L50" s="24"/>
      <c r="M50" s="299"/>
    </row>
    <row r="51" spans="1:13" ht="64.5" customHeight="1">
      <c r="A51" s="67" t="s">
        <v>293</v>
      </c>
      <c r="B51" s="50" t="s">
        <v>283</v>
      </c>
      <c r="C51" s="378" t="s">
        <v>145</v>
      </c>
      <c r="D51" s="61">
        <f>SUM(E51:H51)</f>
        <v>100000</v>
      </c>
      <c r="E51" s="54"/>
      <c r="F51" s="54">
        <v>100000</v>
      </c>
      <c r="G51" s="54"/>
      <c r="H51" s="55"/>
      <c r="I51" s="56">
        <f t="shared" si="5"/>
        <v>0</v>
      </c>
      <c r="J51" s="57"/>
      <c r="K51" s="58"/>
      <c r="L51" s="59"/>
      <c r="M51" s="297"/>
    </row>
    <row r="52" spans="1:13" ht="23.25" customHeight="1">
      <c r="A52" s="67" t="s">
        <v>294</v>
      </c>
      <c r="B52" s="39" t="s">
        <v>283</v>
      </c>
      <c r="C52" s="312" t="s">
        <v>574</v>
      </c>
      <c r="D52" s="25">
        <f t="shared" si="1"/>
        <v>295000</v>
      </c>
      <c r="E52" s="69"/>
      <c r="F52" s="69">
        <v>295000</v>
      </c>
      <c r="G52" s="69"/>
      <c r="H52" s="70"/>
      <c r="I52" s="27">
        <f t="shared" si="5"/>
        <v>0</v>
      </c>
      <c r="J52" s="71"/>
      <c r="K52" s="26"/>
      <c r="L52" s="24"/>
      <c r="M52" s="299"/>
    </row>
    <row r="53" spans="1:70" s="327" customFormat="1" ht="25.5" customHeight="1">
      <c r="A53" s="67" t="s">
        <v>297</v>
      </c>
      <c r="B53" s="22" t="s">
        <v>283</v>
      </c>
      <c r="C53" s="23" t="s">
        <v>563</v>
      </c>
      <c r="D53" s="83">
        <f aca="true" t="shared" si="6" ref="D53:D131">SUM(E53:H53)</f>
        <v>50000</v>
      </c>
      <c r="E53" s="69">
        <v>0</v>
      </c>
      <c r="F53" s="69">
        <v>50000</v>
      </c>
      <c r="G53" s="69">
        <v>0</v>
      </c>
      <c r="H53" s="70">
        <v>0</v>
      </c>
      <c r="I53" s="27">
        <f t="shared" si="5"/>
        <v>0</v>
      </c>
      <c r="J53" s="71">
        <v>0</v>
      </c>
      <c r="K53" s="26"/>
      <c r="L53" s="24">
        <v>0</v>
      </c>
      <c r="M53" s="299">
        <v>0</v>
      </c>
      <c r="O53" s="138"/>
      <c r="P53" s="138"/>
      <c r="Q53" s="2"/>
      <c r="R53" s="2"/>
      <c r="S53" s="2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</row>
    <row r="54" spans="1:14" ht="25.5" customHeight="1">
      <c r="A54" s="67" t="s">
        <v>415</v>
      </c>
      <c r="B54" s="95" t="s">
        <v>29</v>
      </c>
      <c r="C54" s="30" t="s">
        <v>30</v>
      </c>
      <c r="D54" s="83">
        <f t="shared" si="6"/>
        <v>1290000</v>
      </c>
      <c r="E54" s="63"/>
      <c r="F54" s="63">
        <v>800000</v>
      </c>
      <c r="G54" s="63">
        <v>490000</v>
      </c>
      <c r="H54" s="64"/>
      <c r="I54" s="27">
        <f t="shared" si="5"/>
        <v>0</v>
      </c>
      <c r="J54" s="66"/>
      <c r="K54" s="32"/>
      <c r="L54" s="31"/>
      <c r="M54" s="165"/>
      <c r="N54" s="327"/>
    </row>
    <row r="55" spans="1:14" ht="25.5" customHeight="1">
      <c r="A55" s="67" t="s">
        <v>517</v>
      </c>
      <c r="B55" s="95" t="s">
        <v>29</v>
      </c>
      <c r="C55" s="30" t="s">
        <v>58</v>
      </c>
      <c r="D55" s="83">
        <f t="shared" si="6"/>
        <v>85000</v>
      </c>
      <c r="E55" s="63"/>
      <c r="F55" s="63">
        <v>85000</v>
      </c>
      <c r="G55" s="63"/>
      <c r="H55" s="64"/>
      <c r="I55" s="27">
        <f t="shared" si="5"/>
        <v>0</v>
      </c>
      <c r="J55" s="66"/>
      <c r="K55" s="32"/>
      <c r="L55" s="31"/>
      <c r="M55" s="165"/>
      <c r="N55" s="327"/>
    </row>
    <row r="56" spans="1:14" ht="28.5" customHeight="1">
      <c r="A56" s="67" t="s">
        <v>541</v>
      </c>
      <c r="B56" s="95" t="s">
        <v>29</v>
      </c>
      <c r="C56" s="30" t="s">
        <v>120</v>
      </c>
      <c r="D56" s="83">
        <f t="shared" si="6"/>
        <v>1000000</v>
      </c>
      <c r="E56" s="63"/>
      <c r="F56" s="63">
        <v>1000000</v>
      </c>
      <c r="G56" s="63"/>
      <c r="H56" s="64"/>
      <c r="I56" s="27">
        <f t="shared" si="5"/>
        <v>0</v>
      </c>
      <c r="J56" s="66"/>
      <c r="K56" s="32"/>
      <c r="L56" s="31"/>
      <c r="M56" s="165"/>
      <c r="N56" s="327"/>
    </row>
    <row r="57" spans="1:14" ht="25.5" customHeight="1">
      <c r="A57" s="67" t="s">
        <v>102</v>
      </c>
      <c r="B57" s="95" t="s">
        <v>29</v>
      </c>
      <c r="C57" s="30" t="s">
        <v>228</v>
      </c>
      <c r="D57" s="83">
        <f t="shared" si="6"/>
        <v>80000</v>
      </c>
      <c r="E57" s="63"/>
      <c r="F57" s="63">
        <v>80000</v>
      </c>
      <c r="G57" s="63"/>
      <c r="H57" s="64"/>
      <c r="I57" s="27">
        <f t="shared" si="5"/>
        <v>0</v>
      </c>
      <c r="J57" s="66"/>
      <c r="K57" s="32"/>
      <c r="L57" s="31"/>
      <c r="M57" s="165"/>
      <c r="N57" s="327"/>
    </row>
    <row r="58" spans="1:14" ht="25.5" customHeight="1">
      <c r="A58" s="67" t="s">
        <v>133</v>
      </c>
      <c r="B58" s="95" t="s">
        <v>103</v>
      </c>
      <c r="C58" s="30" t="s">
        <v>189</v>
      </c>
      <c r="D58" s="86">
        <f t="shared" si="6"/>
        <v>50000</v>
      </c>
      <c r="E58" s="63">
        <v>50000</v>
      </c>
      <c r="F58" s="63"/>
      <c r="G58" s="63"/>
      <c r="H58" s="64"/>
      <c r="I58" s="27">
        <f t="shared" si="5"/>
        <v>0</v>
      </c>
      <c r="J58" s="66"/>
      <c r="K58" s="32"/>
      <c r="L58" s="31"/>
      <c r="M58" s="165"/>
      <c r="N58" s="327"/>
    </row>
    <row r="59" spans="1:14" ht="28.5" customHeight="1">
      <c r="A59" s="72"/>
      <c r="B59" s="34" t="s">
        <v>330</v>
      </c>
      <c r="C59" s="33" t="s">
        <v>331</v>
      </c>
      <c r="D59" s="75">
        <f t="shared" si="6"/>
        <v>3200000</v>
      </c>
      <c r="E59" s="78">
        <f>SUM(E60:E61)</f>
        <v>0</v>
      </c>
      <c r="F59" s="78">
        <f>SUM(F60:F61)</f>
        <v>3200000</v>
      </c>
      <c r="G59" s="78">
        <f>SUM(G60:G61)</f>
        <v>0</v>
      </c>
      <c r="H59" s="78">
        <f>SUM(H60:H61)</f>
        <v>0</v>
      </c>
      <c r="I59" s="20">
        <f t="shared" si="5"/>
        <v>0</v>
      </c>
      <c r="J59" s="80">
        <f>SUM(J60:J61)</f>
        <v>0</v>
      </c>
      <c r="K59" s="78">
        <f>SUM(K60:K61)</f>
        <v>0</v>
      </c>
      <c r="L59" s="78">
        <f>SUM(L60:L61)</f>
        <v>0</v>
      </c>
      <c r="M59" s="316">
        <f>SUM(M60:M61)</f>
        <v>0</v>
      </c>
      <c r="N59" s="327"/>
    </row>
    <row r="60" spans="1:14" ht="27" customHeight="1">
      <c r="A60" s="37" t="s">
        <v>278</v>
      </c>
      <c r="B60" s="22" t="s">
        <v>329</v>
      </c>
      <c r="C60" s="23" t="s">
        <v>19</v>
      </c>
      <c r="D60" s="25">
        <f t="shared" si="6"/>
        <v>2000000</v>
      </c>
      <c r="E60" s="26">
        <v>0</v>
      </c>
      <c r="F60" s="26">
        <v>2000000</v>
      </c>
      <c r="G60" s="26">
        <v>0</v>
      </c>
      <c r="H60" s="28">
        <v>0</v>
      </c>
      <c r="I60" s="27">
        <f t="shared" si="5"/>
        <v>0</v>
      </c>
      <c r="J60" s="71">
        <v>0</v>
      </c>
      <c r="K60" s="26"/>
      <c r="L60" s="24">
        <v>0</v>
      </c>
      <c r="M60" s="299">
        <v>0</v>
      </c>
      <c r="N60" s="327"/>
    </row>
    <row r="61" spans="1:14" ht="25.5" customHeight="1">
      <c r="A61" s="37" t="s">
        <v>280</v>
      </c>
      <c r="B61" s="145" t="s">
        <v>329</v>
      </c>
      <c r="C61" s="51" t="s">
        <v>39</v>
      </c>
      <c r="D61" s="25">
        <f t="shared" si="6"/>
        <v>1200000</v>
      </c>
      <c r="E61" s="58"/>
      <c r="F61" s="58">
        <v>1200000</v>
      </c>
      <c r="G61" s="58"/>
      <c r="H61" s="166"/>
      <c r="I61" s="27">
        <f t="shared" si="5"/>
        <v>0</v>
      </c>
      <c r="J61" s="71"/>
      <c r="K61" s="26"/>
      <c r="L61" s="24"/>
      <c r="M61" s="299"/>
      <c r="N61" s="327"/>
    </row>
    <row r="62" spans="1:14" ht="30" customHeight="1">
      <c r="A62" s="41"/>
      <c r="B62" s="91" t="s">
        <v>298</v>
      </c>
      <c r="C62" s="92" t="s">
        <v>92</v>
      </c>
      <c r="D62" s="93">
        <f t="shared" si="6"/>
        <v>3038367</v>
      </c>
      <c r="E62" s="94">
        <f>SUM(E63:E67)</f>
        <v>0</v>
      </c>
      <c r="F62" s="94">
        <f>SUM(F63:F67)</f>
        <v>3038367</v>
      </c>
      <c r="G62" s="94">
        <f>SUM(G63:G67)</f>
        <v>0</v>
      </c>
      <c r="H62" s="94">
        <f>SUM(H63:H67)</f>
        <v>0</v>
      </c>
      <c r="I62" s="318">
        <f t="shared" si="5"/>
        <v>0</v>
      </c>
      <c r="J62" s="341">
        <f>SUM(J63:J67)</f>
        <v>0</v>
      </c>
      <c r="K62" s="318">
        <f>SUM(K63:K67)</f>
        <v>0</v>
      </c>
      <c r="L62" s="318">
        <f>SUM(L63:L67)</f>
        <v>0</v>
      </c>
      <c r="M62" s="318">
        <f>SUM(M63:M67)</f>
        <v>0</v>
      </c>
      <c r="N62" s="327"/>
    </row>
    <row r="63" spans="1:14" ht="26.25" customHeight="1">
      <c r="A63" s="41" t="s">
        <v>278</v>
      </c>
      <c r="B63" s="145" t="s">
        <v>283</v>
      </c>
      <c r="C63" s="51" t="s">
        <v>6</v>
      </c>
      <c r="D63" s="61">
        <f t="shared" si="6"/>
        <v>1820000</v>
      </c>
      <c r="E63" s="58">
        <v>0</v>
      </c>
      <c r="F63" s="58">
        <v>1820000</v>
      </c>
      <c r="G63" s="58">
        <v>0</v>
      </c>
      <c r="H63" s="166">
        <v>0</v>
      </c>
      <c r="I63" s="56">
        <f t="shared" si="5"/>
        <v>0</v>
      </c>
      <c r="J63" s="57">
        <v>0</v>
      </c>
      <c r="K63" s="58"/>
      <c r="L63" s="59">
        <v>0</v>
      </c>
      <c r="M63" s="297">
        <v>0</v>
      </c>
      <c r="N63" s="327"/>
    </row>
    <row r="64" spans="1:13" ht="29.25" customHeight="1">
      <c r="A64" s="37" t="s">
        <v>280</v>
      </c>
      <c r="B64" s="22" t="s">
        <v>283</v>
      </c>
      <c r="C64" s="23" t="s">
        <v>394</v>
      </c>
      <c r="D64" s="25">
        <f t="shared" si="6"/>
        <v>220000</v>
      </c>
      <c r="E64" s="26"/>
      <c r="F64" s="26">
        <v>220000</v>
      </c>
      <c r="G64" s="26">
        <v>0</v>
      </c>
      <c r="H64" s="28">
        <v>0</v>
      </c>
      <c r="I64" s="27">
        <f t="shared" si="5"/>
        <v>0</v>
      </c>
      <c r="J64" s="71"/>
      <c r="K64" s="26"/>
      <c r="L64" s="24">
        <v>0</v>
      </c>
      <c r="M64" s="299">
        <v>0</v>
      </c>
    </row>
    <row r="65" spans="1:13" ht="29.25" customHeight="1">
      <c r="A65" s="72" t="s">
        <v>282</v>
      </c>
      <c r="B65" s="95" t="s">
        <v>329</v>
      </c>
      <c r="C65" s="30" t="s">
        <v>71</v>
      </c>
      <c r="D65" s="62">
        <f t="shared" si="6"/>
        <v>508367</v>
      </c>
      <c r="E65" s="32"/>
      <c r="F65" s="32">
        <v>508367</v>
      </c>
      <c r="G65" s="32">
        <v>0</v>
      </c>
      <c r="H65" s="73">
        <v>0</v>
      </c>
      <c r="I65" s="65">
        <f t="shared" si="5"/>
        <v>0</v>
      </c>
      <c r="J65" s="66"/>
      <c r="K65" s="32"/>
      <c r="L65" s="31">
        <v>0</v>
      </c>
      <c r="M65" s="165">
        <v>0</v>
      </c>
    </row>
    <row r="66" spans="1:13" ht="29.25" customHeight="1">
      <c r="A66" s="72" t="s">
        <v>284</v>
      </c>
      <c r="B66" s="95" t="s">
        <v>29</v>
      </c>
      <c r="C66" s="30" t="s">
        <v>40</v>
      </c>
      <c r="D66" s="62">
        <f t="shared" si="6"/>
        <v>420000</v>
      </c>
      <c r="E66" s="32"/>
      <c r="F66" s="32">
        <v>420000</v>
      </c>
      <c r="G66" s="32"/>
      <c r="H66" s="73"/>
      <c r="I66" s="65">
        <f t="shared" si="5"/>
        <v>0</v>
      </c>
      <c r="J66" s="66"/>
      <c r="K66" s="32"/>
      <c r="L66" s="31"/>
      <c r="M66" s="165"/>
    </row>
    <row r="67" spans="1:13" ht="24" customHeight="1">
      <c r="A67" s="72" t="s">
        <v>286</v>
      </c>
      <c r="B67" s="95" t="s">
        <v>29</v>
      </c>
      <c r="C67" s="30" t="s">
        <v>146</v>
      </c>
      <c r="D67" s="62">
        <f t="shared" si="6"/>
        <v>70000</v>
      </c>
      <c r="E67" s="32"/>
      <c r="F67" s="32">
        <v>70000</v>
      </c>
      <c r="G67" s="32"/>
      <c r="H67" s="73"/>
      <c r="I67" s="65">
        <f t="shared" si="5"/>
        <v>0</v>
      </c>
      <c r="J67" s="66"/>
      <c r="K67" s="32"/>
      <c r="L67" s="31"/>
      <c r="M67" s="165"/>
    </row>
    <row r="68" spans="1:13" ht="29.25" customHeight="1">
      <c r="A68" s="37"/>
      <c r="B68" s="3" t="s">
        <v>15</v>
      </c>
      <c r="C68" s="6" t="s">
        <v>16</v>
      </c>
      <c r="D68" s="38">
        <f t="shared" si="6"/>
        <v>77026</v>
      </c>
      <c r="E68" s="19">
        <f>E69</f>
        <v>0</v>
      </c>
      <c r="F68" s="19">
        <f>F69</f>
        <v>77026</v>
      </c>
      <c r="G68" s="19">
        <f>G69</f>
        <v>0</v>
      </c>
      <c r="H68" s="89">
        <f>H69</f>
        <v>0</v>
      </c>
      <c r="I68" s="20">
        <f t="shared" si="5"/>
        <v>0</v>
      </c>
      <c r="J68" s="90">
        <f>J69</f>
        <v>0</v>
      </c>
      <c r="K68" s="19">
        <f>K69</f>
        <v>0</v>
      </c>
      <c r="L68" s="19">
        <f>L69</f>
        <v>0</v>
      </c>
      <c r="M68" s="19">
        <f>M69</f>
        <v>0</v>
      </c>
    </row>
    <row r="69" spans="1:13" ht="23.25" customHeight="1">
      <c r="A69" s="470" t="s">
        <v>278</v>
      </c>
      <c r="B69" s="473" t="s">
        <v>283</v>
      </c>
      <c r="C69" s="23" t="s">
        <v>17</v>
      </c>
      <c r="D69" s="61">
        <f t="shared" si="6"/>
        <v>77026</v>
      </c>
      <c r="E69" s="58"/>
      <c r="F69" s="58">
        <v>77026</v>
      </c>
      <c r="G69" s="58"/>
      <c r="H69" s="166"/>
      <c r="I69" s="56">
        <f t="shared" si="5"/>
        <v>0</v>
      </c>
      <c r="J69" s="57"/>
      <c r="K69" s="58"/>
      <c r="L69" s="59"/>
      <c r="M69" s="297"/>
    </row>
    <row r="70" spans="1:13" ht="18.75" customHeight="1">
      <c r="A70" s="471"/>
      <c r="B70" s="474"/>
      <c r="C70" s="23" t="s">
        <v>238</v>
      </c>
      <c r="D70" s="43">
        <f t="shared" si="6"/>
        <v>173000</v>
      </c>
      <c r="E70" s="44">
        <v>173000</v>
      </c>
      <c r="F70" s="44">
        <v>0</v>
      </c>
      <c r="G70" s="44"/>
      <c r="H70" s="45"/>
      <c r="I70" s="46">
        <f t="shared" si="5"/>
        <v>0</v>
      </c>
      <c r="J70" s="47"/>
      <c r="K70" s="44"/>
      <c r="L70" s="48"/>
      <c r="M70" s="169"/>
    </row>
    <row r="71" spans="1:13" ht="18.75" customHeight="1">
      <c r="A71" s="472"/>
      <c r="B71" s="475"/>
      <c r="C71" s="23" t="s">
        <v>101</v>
      </c>
      <c r="D71" s="25">
        <f aca="true" t="shared" si="7" ref="D71:M71">SUM(D69:D70)</f>
        <v>250026</v>
      </c>
      <c r="E71" s="25">
        <f t="shared" si="7"/>
        <v>173000</v>
      </c>
      <c r="F71" s="25">
        <f t="shared" si="7"/>
        <v>77026</v>
      </c>
      <c r="G71" s="25">
        <f t="shared" si="7"/>
        <v>0</v>
      </c>
      <c r="H71" s="25">
        <f t="shared" si="7"/>
        <v>0</v>
      </c>
      <c r="I71" s="27">
        <f t="shared" si="7"/>
        <v>0</v>
      </c>
      <c r="J71" s="25">
        <f t="shared" si="7"/>
        <v>0</v>
      </c>
      <c r="K71" s="25">
        <f t="shared" si="7"/>
        <v>0</v>
      </c>
      <c r="L71" s="25">
        <f t="shared" si="7"/>
        <v>0</v>
      </c>
      <c r="M71" s="25">
        <f t="shared" si="7"/>
        <v>0</v>
      </c>
    </row>
    <row r="72" spans="1:13" ht="24.75" customHeight="1">
      <c r="A72" s="37"/>
      <c r="B72" s="3" t="s">
        <v>347</v>
      </c>
      <c r="C72" s="6" t="s">
        <v>576</v>
      </c>
      <c r="D72" s="38">
        <f t="shared" si="6"/>
        <v>155150</v>
      </c>
      <c r="E72" s="19">
        <f>SUM(E73:E74)</f>
        <v>5150</v>
      </c>
      <c r="F72" s="19">
        <f>SUM(F73:F74)</f>
        <v>150000</v>
      </c>
      <c r="G72" s="19">
        <f>SUM(G73:G74)</f>
        <v>0</v>
      </c>
      <c r="H72" s="19">
        <f>SUM(H73:H74)</f>
        <v>0</v>
      </c>
      <c r="I72" s="20">
        <f aca="true" t="shared" si="8" ref="I72:I89">SUM(J72:M72)</f>
        <v>0</v>
      </c>
      <c r="J72" s="19">
        <f>SUM(J73:J74)</f>
        <v>0</v>
      </c>
      <c r="K72" s="19">
        <f>SUM(K73:K74)</f>
        <v>0</v>
      </c>
      <c r="L72" s="19">
        <f>SUM(L73:L74)</f>
        <v>0</v>
      </c>
      <c r="M72" s="19">
        <f>SUM(M73:M74)</f>
        <v>0</v>
      </c>
    </row>
    <row r="73" spans="1:13" ht="22.5" customHeight="1">
      <c r="A73" s="72" t="s">
        <v>278</v>
      </c>
      <c r="B73" s="140" t="s">
        <v>283</v>
      </c>
      <c r="C73" s="30" t="s">
        <v>61</v>
      </c>
      <c r="D73" s="62">
        <f t="shared" si="6"/>
        <v>150000</v>
      </c>
      <c r="E73" s="32"/>
      <c r="F73" s="32">
        <v>150000</v>
      </c>
      <c r="G73" s="32"/>
      <c r="H73" s="73"/>
      <c r="I73" s="27">
        <f t="shared" si="8"/>
        <v>0</v>
      </c>
      <c r="J73" s="66"/>
      <c r="K73" s="32"/>
      <c r="L73" s="31"/>
      <c r="M73" s="165"/>
    </row>
    <row r="74" spans="1:13" ht="26.25" customHeight="1">
      <c r="A74" s="72" t="s">
        <v>280</v>
      </c>
      <c r="B74" s="140" t="s">
        <v>29</v>
      </c>
      <c r="C74" s="30" t="s">
        <v>216</v>
      </c>
      <c r="D74" s="62">
        <f t="shared" si="6"/>
        <v>5150</v>
      </c>
      <c r="E74" s="32">
        <v>5150</v>
      </c>
      <c r="F74" s="32"/>
      <c r="G74" s="32"/>
      <c r="H74" s="73"/>
      <c r="I74" s="27">
        <f t="shared" si="8"/>
        <v>0</v>
      </c>
      <c r="J74" s="66"/>
      <c r="K74" s="32"/>
      <c r="L74" s="31"/>
      <c r="M74" s="165"/>
    </row>
    <row r="75" spans="1:14" ht="28.5" customHeight="1">
      <c r="A75" s="37"/>
      <c r="B75" s="3" t="s">
        <v>300</v>
      </c>
      <c r="C75" s="6" t="s">
        <v>301</v>
      </c>
      <c r="D75" s="38">
        <f t="shared" si="6"/>
        <v>1042855</v>
      </c>
      <c r="E75" s="19">
        <f>SUM(E76:E80)</f>
        <v>512855</v>
      </c>
      <c r="F75" s="19">
        <f>SUM(F76:F80)</f>
        <v>530000</v>
      </c>
      <c r="G75" s="19">
        <f>SUM(G76:G80)</f>
        <v>0</v>
      </c>
      <c r="H75" s="19">
        <f>SUM(H76:H80)</f>
        <v>0</v>
      </c>
      <c r="I75" s="20">
        <f t="shared" si="8"/>
        <v>0</v>
      </c>
      <c r="J75" s="21">
        <f>SUM(J76:J80)</f>
        <v>0</v>
      </c>
      <c r="K75" s="38">
        <f>SUM(K76:K80)</f>
        <v>0</v>
      </c>
      <c r="L75" s="18">
        <f>SUM(L76:L80)</f>
        <v>0</v>
      </c>
      <c r="M75" s="310">
        <f>SUM(M76:M80)</f>
        <v>0</v>
      </c>
      <c r="N75" s="327"/>
    </row>
    <row r="76" spans="1:70" s="326" customFormat="1" ht="25.5" customHeight="1">
      <c r="A76" s="37" t="s">
        <v>278</v>
      </c>
      <c r="B76" s="22" t="s">
        <v>329</v>
      </c>
      <c r="C76" s="23" t="s">
        <v>20</v>
      </c>
      <c r="D76" s="25">
        <f t="shared" si="6"/>
        <v>200000</v>
      </c>
      <c r="E76" s="97">
        <v>0</v>
      </c>
      <c r="F76" s="97">
        <v>200000</v>
      </c>
      <c r="G76" s="97">
        <v>0</v>
      </c>
      <c r="H76" s="98">
        <v>0</v>
      </c>
      <c r="I76" s="27">
        <f t="shared" si="8"/>
        <v>0</v>
      </c>
      <c r="J76" s="99"/>
      <c r="K76" s="26"/>
      <c r="L76" s="24">
        <v>0</v>
      </c>
      <c r="M76" s="464">
        <v>0</v>
      </c>
      <c r="N76" s="327"/>
      <c r="O76" s="163"/>
      <c r="P76" s="163"/>
      <c r="Q76" s="134"/>
      <c r="R76" s="134"/>
      <c r="S76" s="13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</row>
    <row r="77" spans="1:19" s="304" customFormat="1" ht="22.5" customHeight="1">
      <c r="A77" s="72" t="s">
        <v>280</v>
      </c>
      <c r="B77" s="22" t="s">
        <v>329</v>
      </c>
      <c r="C77" s="30" t="s">
        <v>392</v>
      </c>
      <c r="D77" s="62">
        <f t="shared" si="6"/>
        <v>80000</v>
      </c>
      <c r="E77" s="100">
        <v>0</v>
      </c>
      <c r="F77" s="100">
        <v>80000</v>
      </c>
      <c r="G77" s="100">
        <v>0</v>
      </c>
      <c r="H77" s="101">
        <v>0</v>
      </c>
      <c r="I77" s="65">
        <f t="shared" si="8"/>
        <v>0</v>
      </c>
      <c r="J77" s="102"/>
      <c r="K77" s="32"/>
      <c r="L77" s="31">
        <v>0</v>
      </c>
      <c r="M77" s="465">
        <v>0</v>
      </c>
      <c r="N77" s="327"/>
      <c r="O77" s="138"/>
      <c r="P77" s="138"/>
      <c r="Q77" s="2"/>
      <c r="R77" s="2"/>
      <c r="S77" s="2"/>
    </row>
    <row r="78" spans="1:19" s="304" customFormat="1" ht="23.25" customHeight="1">
      <c r="A78" s="72" t="s">
        <v>282</v>
      </c>
      <c r="B78" s="22" t="s">
        <v>329</v>
      </c>
      <c r="C78" s="30" t="s">
        <v>539</v>
      </c>
      <c r="D78" s="62">
        <f t="shared" si="6"/>
        <v>100481</v>
      </c>
      <c r="E78" s="100">
        <v>481</v>
      </c>
      <c r="F78" s="100">
        <v>100000</v>
      </c>
      <c r="G78" s="100">
        <v>0</v>
      </c>
      <c r="H78" s="101">
        <v>0</v>
      </c>
      <c r="I78" s="65">
        <f t="shared" si="8"/>
        <v>0</v>
      </c>
      <c r="J78" s="102"/>
      <c r="K78" s="32"/>
      <c r="L78" s="31">
        <v>0</v>
      </c>
      <c r="M78" s="465">
        <v>0</v>
      </c>
      <c r="N78" s="327"/>
      <c r="O78" s="138"/>
      <c r="P78" s="138"/>
      <c r="Q78" s="2"/>
      <c r="R78" s="2"/>
      <c r="S78" s="2"/>
    </row>
    <row r="79" spans="1:19" s="304" customFormat="1" ht="39" customHeight="1">
      <c r="A79" s="72" t="s">
        <v>286</v>
      </c>
      <c r="B79" s="22" t="s">
        <v>329</v>
      </c>
      <c r="C79" s="30" t="s">
        <v>229</v>
      </c>
      <c r="D79" s="62">
        <f t="shared" si="6"/>
        <v>512374</v>
      </c>
      <c r="E79" s="100">
        <v>512374</v>
      </c>
      <c r="F79" s="100"/>
      <c r="G79" s="100"/>
      <c r="H79" s="101"/>
      <c r="I79" s="65">
        <f t="shared" si="8"/>
        <v>0</v>
      </c>
      <c r="J79" s="102"/>
      <c r="K79" s="32"/>
      <c r="L79" s="31"/>
      <c r="M79" s="48"/>
      <c r="N79" s="327"/>
      <c r="O79" s="138"/>
      <c r="P79" s="138"/>
      <c r="Q79" s="2"/>
      <c r="R79" s="2"/>
      <c r="S79" s="2"/>
    </row>
    <row r="80" spans="1:19" s="304" customFormat="1" ht="27" customHeight="1">
      <c r="A80" s="72" t="s">
        <v>287</v>
      </c>
      <c r="B80" s="22" t="s">
        <v>29</v>
      </c>
      <c r="C80" s="30" t="s">
        <v>41</v>
      </c>
      <c r="D80" s="62">
        <f t="shared" si="6"/>
        <v>150000</v>
      </c>
      <c r="E80" s="100"/>
      <c r="F80" s="100">
        <v>150000</v>
      </c>
      <c r="G80" s="100"/>
      <c r="H80" s="101"/>
      <c r="I80" s="65">
        <f t="shared" si="8"/>
        <v>0</v>
      </c>
      <c r="J80" s="102"/>
      <c r="K80" s="32"/>
      <c r="L80" s="31"/>
      <c r="M80" s="48"/>
      <c r="N80" s="327"/>
      <c r="O80" s="138"/>
      <c r="P80" s="138"/>
      <c r="Q80" s="2"/>
      <c r="R80" s="2"/>
      <c r="S80" s="2"/>
    </row>
    <row r="81" spans="1:14" ht="33" customHeight="1">
      <c r="A81" s="6"/>
      <c r="B81" s="3" t="s">
        <v>335</v>
      </c>
      <c r="C81" s="6" t="s">
        <v>336</v>
      </c>
      <c r="D81" s="38">
        <f t="shared" si="6"/>
        <v>21800</v>
      </c>
      <c r="E81" s="11">
        <f>SUM(E82:E82)</f>
        <v>0</v>
      </c>
      <c r="F81" s="11">
        <f>SUM(F82:F82)</f>
        <v>21800</v>
      </c>
      <c r="G81" s="11">
        <f>SUM(G82:G82)</f>
        <v>0</v>
      </c>
      <c r="H81" s="12">
        <f>SUM(H82:H82)</f>
        <v>0</v>
      </c>
      <c r="I81" s="20">
        <f t="shared" si="8"/>
        <v>0</v>
      </c>
      <c r="J81" s="14">
        <f>SUM(J82:J82)</f>
        <v>0</v>
      </c>
      <c r="K81" s="10">
        <f>SUM(K82:K82)</f>
        <v>0</v>
      </c>
      <c r="L81" s="9">
        <f>SUM(L82:L82)</f>
        <v>0</v>
      </c>
      <c r="M81" s="309">
        <f>SUM(M82:M82)</f>
        <v>0</v>
      </c>
      <c r="N81" s="327"/>
    </row>
    <row r="82" spans="1:14" ht="22.5" customHeight="1">
      <c r="A82" s="37" t="s">
        <v>278</v>
      </c>
      <c r="B82" s="22" t="s">
        <v>329</v>
      </c>
      <c r="C82" s="23" t="s">
        <v>337</v>
      </c>
      <c r="D82" s="83">
        <f t="shared" si="6"/>
        <v>21800</v>
      </c>
      <c r="E82" s="69">
        <v>0</v>
      </c>
      <c r="F82" s="69">
        <v>21800</v>
      </c>
      <c r="G82" s="69">
        <v>0</v>
      </c>
      <c r="H82" s="70">
        <v>0</v>
      </c>
      <c r="I82" s="27">
        <f t="shared" si="8"/>
        <v>0</v>
      </c>
      <c r="J82" s="71">
        <v>0</v>
      </c>
      <c r="K82" s="26"/>
      <c r="L82" s="24">
        <v>0</v>
      </c>
      <c r="M82" s="299">
        <v>0</v>
      </c>
      <c r="N82" s="327"/>
    </row>
    <row r="83" spans="1:14" ht="27" customHeight="1">
      <c r="A83" s="6"/>
      <c r="B83" s="3" t="s">
        <v>359</v>
      </c>
      <c r="C83" s="6" t="s">
        <v>180</v>
      </c>
      <c r="D83" s="38">
        <f>SUM(E83:H83)</f>
        <v>58000</v>
      </c>
      <c r="E83" s="11">
        <f>SUM(E84:E85)</f>
        <v>58000</v>
      </c>
      <c r="F83" s="11">
        <f>SUM(F84:F85)</f>
        <v>0</v>
      </c>
      <c r="G83" s="11">
        <f>SUM(G84:G85)</f>
        <v>0</v>
      </c>
      <c r="H83" s="11">
        <f>SUM(H84:H85)</f>
        <v>0</v>
      </c>
      <c r="I83" s="20">
        <f t="shared" si="8"/>
        <v>0</v>
      </c>
      <c r="J83" s="11">
        <f>SUM(J84:J85)</f>
        <v>0</v>
      </c>
      <c r="K83" s="11">
        <f>SUM(K84:K85)</f>
        <v>0</v>
      </c>
      <c r="L83" s="11">
        <f>SUM(L84:L85)</f>
        <v>0</v>
      </c>
      <c r="M83" s="11">
        <f>SUM(M84:M85)</f>
        <v>0</v>
      </c>
      <c r="N83" s="327"/>
    </row>
    <row r="84" spans="1:14" ht="22.5" customHeight="1">
      <c r="A84" s="37" t="s">
        <v>278</v>
      </c>
      <c r="B84" s="22" t="s">
        <v>329</v>
      </c>
      <c r="C84" s="23" t="s">
        <v>181</v>
      </c>
      <c r="D84" s="83">
        <f>SUM(E84:H84)</f>
        <v>45000</v>
      </c>
      <c r="E84" s="69">
        <v>45000</v>
      </c>
      <c r="F84" s="69">
        <v>0</v>
      </c>
      <c r="G84" s="69">
        <v>0</v>
      </c>
      <c r="H84" s="70">
        <v>0</v>
      </c>
      <c r="I84" s="27">
        <f t="shared" si="8"/>
        <v>0</v>
      </c>
      <c r="J84" s="71"/>
      <c r="K84" s="26">
        <v>0</v>
      </c>
      <c r="L84" s="24">
        <v>0</v>
      </c>
      <c r="M84" s="299">
        <v>0</v>
      </c>
      <c r="N84" s="327"/>
    </row>
    <row r="85" spans="1:14" ht="22.5" customHeight="1">
      <c r="A85" s="37" t="s">
        <v>280</v>
      </c>
      <c r="B85" s="22" t="s">
        <v>329</v>
      </c>
      <c r="C85" s="23" t="s">
        <v>217</v>
      </c>
      <c r="D85" s="83">
        <f>SUM(E85:H85)</f>
        <v>13000</v>
      </c>
      <c r="E85" s="69">
        <v>13000</v>
      </c>
      <c r="F85" s="69"/>
      <c r="G85" s="69"/>
      <c r="H85" s="70"/>
      <c r="I85" s="27">
        <f t="shared" si="8"/>
        <v>0</v>
      </c>
      <c r="J85" s="71"/>
      <c r="K85" s="26"/>
      <c r="L85" s="24"/>
      <c r="M85" s="299"/>
      <c r="N85" s="327"/>
    </row>
    <row r="86" spans="1:14" ht="26.25" customHeight="1">
      <c r="A86" s="6"/>
      <c r="B86" s="3" t="s">
        <v>338</v>
      </c>
      <c r="C86" s="6" t="s">
        <v>339</v>
      </c>
      <c r="D86" s="38">
        <f t="shared" si="6"/>
        <v>194000</v>
      </c>
      <c r="E86" s="11">
        <f>SUM(E87:E87)</f>
        <v>30000</v>
      </c>
      <c r="F86" s="11">
        <f>SUM(F87:F87)</f>
        <v>164000</v>
      </c>
      <c r="G86" s="11">
        <f>SUM(G87:G87)</f>
        <v>0</v>
      </c>
      <c r="H86" s="12">
        <f>SUM(H87:H87)</f>
        <v>0</v>
      </c>
      <c r="I86" s="20">
        <f t="shared" si="8"/>
        <v>0</v>
      </c>
      <c r="J86" s="14">
        <f>SUM(J87:J87)</f>
        <v>0</v>
      </c>
      <c r="K86" s="10">
        <f>SUM(K87:K87)</f>
        <v>0</v>
      </c>
      <c r="L86" s="9">
        <f>SUM(L87:L87)</f>
        <v>0</v>
      </c>
      <c r="M86" s="309">
        <f>SUM(M87:M87)</f>
        <v>0</v>
      </c>
      <c r="N86" s="327"/>
    </row>
    <row r="87" spans="1:14" ht="22.5" customHeight="1">
      <c r="A87" s="37" t="s">
        <v>278</v>
      </c>
      <c r="B87" s="22" t="s">
        <v>283</v>
      </c>
      <c r="C87" s="23" t="s">
        <v>59</v>
      </c>
      <c r="D87" s="83">
        <f t="shared" si="6"/>
        <v>194000</v>
      </c>
      <c r="E87" s="69">
        <v>30000</v>
      </c>
      <c r="F87" s="69">
        <v>164000</v>
      </c>
      <c r="G87" s="69"/>
      <c r="H87" s="70">
        <v>0</v>
      </c>
      <c r="I87" s="27">
        <f t="shared" si="8"/>
        <v>0</v>
      </c>
      <c r="J87" s="71"/>
      <c r="K87" s="26"/>
      <c r="L87" s="24"/>
      <c r="M87" s="299">
        <v>0</v>
      </c>
      <c r="N87" s="327"/>
    </row>
    <row r="88" spans="1:13" ht="27.75" customHeight="1">
      <c r="A88" s="72"/>
      <c r="B88" s="34" t="s">
        <v>303</v>
      </c>
      <c r="C88" s="33" t="s">
        <v>304</v>
      </c>
      <c r="D88" s="75">
        <f t="shared" si="6"/>
        <v>1970000</v>
      </c>
      <c r="E88" s="35">
        <f>SUM(E89:E94)</f>
        <v>91350</v>
      </c>
      <c r="F88" s="35">
        <f>SUM(F89:F94)</f>
        <v>939650</v>
      </c>
      <c r="G88" s="35">
        <f>SUM(G89:G94)</f>
        <v>939000</v>
      </c>
      <c r="H88" s="35">
        <f>SUM(H89:H94)</f>
        <v>0</v>
      </c>
      <c r="I88" s="36">
        <f t="shared" si="8"/>
        <v>0</v>
      </c>
      <c r="J88" s="35">
        <f>SUM(J89:J94)</f>
        <v>0</v>
      </c>
      <c r="K88" s="35">
        <f>SUM(K89:K94)</f>
        <v>0</v>
      </c>
      <c r="L88" s="35">
        <f>SUM(L89:L94)</f>
        <v>0</v>
      </c>
      <c r="M88" s="35">
        <f>SUM(M89:M94)</f>
        <v>0</v>
      </c>
    </row>
    <row r="89" spans="1:13" ht="28.5" customHeight="1">
      <c r="A89" s="422" t="s">
        <v>278</v>
      </c>
      <c r="B89" s="50" t="s">
        <v>283</v>
      </c>
      <c r="C89" s="51" t="s">
        <v>122</v>
      </c>
      <c r="D89" s="61">
        <f t="shared" si="6"/>
        <v>1370000</v>
      </c>
      <c r="E89" s="54">
        <v>91350</v>
      </c>
      <c r="F89" s="54">
        <v>339650</v>
      </c>
      <c r="G89" s="54">
        <v>939000</v>
      </c>
      <c r="H89" s="55">
        <v>0</v>
      </c>
      <c r="I89" s="56">
        <f t="shared" si="8"/>
        <v>0</v>
      </c>
      <c r="J89" s="57"/>
      <c r="K89" s="58"/>
      <c r="L89" s="59"/>
      <c r="M89" s="297">
        <v>0</v>
      </c>
    </row>
    <row r="90" spans="1:13" ht="11.25" customHeight="1">
      <c r="A90" s="424"/>
      <c r="B90" s="140"/>
      <c r="C90" s="30"/>
      <c r="D90" s="62"/>
      <c r="E90" s="63" t="s">
        <v>54</v>
      </c>
      <c r="F90" s="63"/>
      <c r="G90" s="63"/>
      <c r="H90" s="64"/>
      <c r="I90" s="65"/>
      <c r="J90" s="66" t="s">
        <v>54</v>
      </c>
      <c r="K90" s="32"/>
      <c r="L90" s="31"/>
      <c r="M90" s="165"/>
    </row>
    <row r="91" spans="1:13" ht="23.25" customHeight="1">
      <c r="A91" s="37" t="s">
        <v>280</v>
      </c>
      <c r="B91" s="39" t="s">
        <v>283</v>
      </c>
      <c r="C91" s="23" t="s">
        <v>190</v>
      </c>
      <c r="D91" s="25">
        <f>SUM(E91:H91)</f>
        <v>500000</v>
      </c>
      <c r="E91" s="69">
        <v>0</v>
      </c>
      <c r="F91" s="69">
        <v>500000</v>
      </c>
      <c r="G91" s="69">
        <v>0</v>
      </c>
      <c r="H91" s="70">
        <v>0</v>
      </c>
      <c r="I91" s="27">
        <f aca="true" t="shared" si="9" ref="I91:I96">SUM(J91:M91)</f>
        <v>0</v>
      </c>
      <c r="J91" s="71">
        <v>0</v>
      </c>
      <c r="K91" s="26"/>
      <c r="L91" s="24">
        <v>0</v>
      </c>
      <c r="M91" s="299">
        <v>0</v>
      </c>
    </row>
    <row r="92" spans="1:14" ht="30" customHeight="1">
      <c r="A92" s="37" t="s">
        <v>282</v>
      </c>
      <c r="B92" s="22" t="s">
        <v>283</v>
      </c>
      <c r="C92" s="23" t="s">
        <v>14</v>
      </c>
      <c r="D92" s="25">
        <f>SUM(E92:H92)</f>
        <v>30000</v>
      </c>
      <c r="E92" s="97"/>
      <c r="F92" s="97">
        <v>30000</v>
      </c>
      <c r="G92" s="97">
        <v>0</v>
      </c>
      <c r="H92" s="98">
        <v>0</v>
      </c>
      <c r="I92" s="27">
        <f t="shared" si="9"/>
        <v>0</v>
      </c>
      <c r="J92" s="99"/>
      <c r="K92" s="26"/>
      <c r="L92" s="24">
        <v>0</v>
      </c>
      <c r="M92" s="299">
        <v>0</v>
      </c>
      <c r="N92" s="327"/>
    </row>
    <row r="93" spans="1:13" ht="26.25" customHeight="1">
      <c r="A93" s="37" t="s">
        <v>284</v>
      </c>
      <c r="B93" s="22" t="s">
        <v>283</v>
      </c>
      <c r="C93" s="30" t="s">
        <v>49</v>
      </c>
      <c r="D93" s="25">
        <f>SUM(E93:H93)</f>
        <v>50000</v>
      </c>
      <c r="E93" s="100"/>
      <c r="F93" s="100">
        <v>50000</v>
      </c>
      <c r="G93" s="100"/>
      <c r="H93" s="101"/>
      <c r="I93" s="27">
        <f t="shared" si="9"/>
        <v>0</v>
      </c>
      <c r="J93" s="102"/>
      <c r="K93" s="142"/>
      <c r="L93" s="292"/>
      <c r="M93" s="347"/>
    </row>
    <row r="94" spans="1:13" ht="26.25" customHeight="1">
      <c r="A94" s="37" t="s">
        <v>286</v>
      </c>
      <c r="B94" s="95" t="s">
        <v>283</v>
      </c>
      <c r="C94" s="30" t="s">
        <v>128</v>
      </c>
      <c r="D94" s="62">
        <f>SUM(E94:H94)</f>
        <v>20000</v>
      </c>
      <c r="E94" s="100"/>
      <c r="F94" s="100">
        <v>20000</v>
      </c>
      <c r="G94" s="100"/>
      <c r="H94" s="101"/>
      <c r="I94" s="65">
        <f t="shared" si="9"/>
        <v>0</v>
      </c>
      <c r="J94" s="102"/>
      <c r="K94" s="142"/>
      <c r="L94" s="292"/>
      <c r="M94" s="347"/>
    </row>
    <row r="95" spans="1:13" ht="27" customHeight="1">
      <c r="A95" s="72"/>
      <c r="B95" s="34" t="s">
        <v>561</v>
      </c>
      <c r="C95" s="33" t="s">
        <v>562</v>
      </c>
      <c r="D95" s="75">
        <f>SUM(E95:H95)</f>
        <v>1548675</v>
      </c>
      <c r="E95" s="35">
        <f>SUM(E96:E106)</f>
        <v>803400</v>
      </c>
      <c r="F95" s="35">
        <f>SUM(F96:F106)</f>
        <v>436275</v>
      </c>
      <c r="G95" s="35">
        <f>SUM(G96:G106)</f>
        <v>309000</v>
      </c>
      <c r="H95" s="35">
        <f>SUM(H96:H106)</f>
        <v>0</v>
      </c>
      <c r="I95" s="36">
        <f t="shared" si="9"/>
        <v>0</v>
      </c>
      <c r="J95" s="35">
        <f>SUM(J96:J106)</f>
        <v>0</v>
      </c>
      <c r="K95" s="35">
        <f>SUM(K96:K106)</f>
        <v>0</v>
      </c>
      <c r="L95" s="35">
        <f>SUM(L96:L106)</f>
        <v>0</v>
      </c>
      <c r="M95" s="35">
        <f>SUM(M96:M106)</f>
        <v>0</v>
      </c>
    </row>
    <row r="96" spans="1:13" ht="28.5" customHeight="1">
      <c r="A96" s="41" t="s">
        <v>278</v>
      </c>
      <c r="B96" s="50" t="s">
        <v>283</v>
      </c>
      <c r="C96" s="291" t="s">
        <v>577</v>
      </c>
      <c r="D96" s="61">
        <f t="shared" si="6"/>
        <v>735000</v>
      </c>
      <c r="E96" s="54">
        <v>679725</v>
      </c>
      <c r="F96" s="54">
        <v>55275</v>
      </c>
      <c r="G96" s="54">
        <v>0</v>
      </c>
      <c r="H96" s="55">
        <v>0</v>
      </c>
      <c r="I96" s="56">
        <f t="shared" si="9"/>
        <v>0</v>
      </c>
      <c r="J96" s="57"/>
      <c r="K96" s="58"/>
      <c r="L96" s="59">
        <v>0</v>
      </c>
      <c r="M96" s="297">
        <v>0</v>
      </c>
    </row>
    <row r="97" spans="1:13" ht="12.75" customHeight="1">
      <c r="A97" s="72"/>
      <c r="B97" s="140"/>
      <c r="C97" s="30"/>
      <c r="D97" s="62"/>
      <c r="E97" s="63" t="s">
        <v>191</v>
      </c>
      <c r="F97" s="63"/>
      <c r="G97" s="63"/>
      <c r="H97" s="64"/>
      <c r="I97" s="65"/>
      <c r="J97" s="66"/>
      <c r="K97" s="32"/>
      <c r="L97" s="31"/>
      <c r="M97" s="165"/>
    </row>
    <row r="98" spans="1:13" ht="28.5" customHeight="1">
      <c r="A98" s="37" t="s">
        <v>280</v>
      </c>
      <c r="B98" s="39" t="s">
        <v>283</v>
      </c>
      <c r="C98" s="23" t="s">
        <v>12</v>
      </c>
      <c r="D98" s="25">
        <f t="shared" si="6"/>
        <v>690000</v>
      </c>
      <c r="E98" s="69"/>
      <c r="F98" s="69">
        <v>381000</v>
      </c>
      <c r="G98" s="69">
        <v>309000</v>
      </c>
      <c r="H98" s="70"/>
      <c r="I98" s="27">
        <f aca="true" t="shared" si="10" ref="I98:I116">SUM(J98:M98)</f>
        <v>0</v>
      </c>
      <c r="J98" s="71"/>
      <c r="K98" s="295"/>
      <c r="L98" s="296"/>
      <c r="M98" s="332"/>
    </row>
    <row r="99" spans="1:13" ht="28.5" customHeight="1">
      <c r="A99" s="37" t="s">
        <v>282</v>
      </c>
      <c r="B99" s="39" t="s">
        <v>283</v>
      </c>
      <c r="C99" s="30" t="s">
        <v>218</v>
      </c>
      <c r="D99" s="25">
        <f t="shared" si="6"/>
        <v>33000</v>
      </c>
      <c r="E99" s="63">
        <v>33000</v>
      </c>
      <c r="F99" s="63"/>
      <c r="G99" s="63"/>
      <c r="H99" s="64"/>
      <c r="I99" s="27">
        <f t="shared" si="10"/>
        <v>0</v>
      </c>
      <c r="J99" s="66"/>
      <c r="K99" s="142"/>
      <c r="L99" s="292"/>
      <c r="M99" s="347"/>
    </row>
    <row r="100" spans="1:13" ht="21" customHeight="1">
      <c r="A100" s="37" t="s">
        <v>284</v>
      </c>
      <c r="B100" s="140" t="s">
        <v>103</v>
      </c>
      <c r="C100" s="30" t="s">
        <v>104</v>
      </c>
      <c r="D100" s="25">
        <f t="shared" si="6"/>
        <v>4111</v>
      </c>
      <c r="E100" s="63">
        <v>4111</v>
      </c>
      <c r="F100" s="63"/>
      <c r="G100" s="63"/>
      <c r="H100" s="64"/>
      <c r="I100" s="27">
        <f t="shared" si="10"/>
        <v>0</v>
      </c>
      <c r="J100" s="66"/>
      <c r="K100" s="142"/>
      <c r="L100" s="292"/>
      <c r="M100" s="347"/>
    </row>
    <row r="101" spans="1:13" ht="21.75" customHeight="1">
      <c r="A101" s="37" t="s">
        <v>286</v>
      </c>
      <c r="B101" s="140" t="s">
        <v>329</v>
      </c>
      <c r="C101" s="30" t="s">
        <v>105</v>
      </c>
      <c r="D101" s="25">
        <f t="shared" si="6"/>
        <v>6000</v>
      </c>
      <c r="E101" s="63">
        <v>6000</v>
      </c>
      <c r="F101" s="63"/>
      <c r="G101" s="63"/>
      <c r="H101" s="64"/>
      <c r="I101" s="27">
        <f t="shared" si="10"/>
        <v>0</v>
      </c>
      <c r="J101" s="66"/>
      <c r="K101" s="142"/>
      <c r="L101" s="292"/>
      <c r="M101" s="347"/>
    </row>
    <row r="102" spans="1:13" ht="20.25" customHeight="1">
      <c r="A102" s="37" t="s">
        <v>287</v>
      </c>
      <c r="B102" s="140" t="s">
        <v>329</v>
      </c>
      <c r="C102" s="30" t="s">
        <v>106</v>
      </c>
      <c r="D102" s="25">
        <f t="shared" si="6"/>
        <v>5564</v>
      </c>
      <c r="E102" s="63">
        <v>5564</v>
      </c>
      <c r="F102" s="63"/>
      <c r="G102" s="63"/>
      <c r="H102" s="64"/>
      <c r="I102" s="27">
        <f t="shared" si="10"/>
        <v>0</v>
      </c>
      <c r="J102" s="66"/>
      <c r="K102" s="142"/>
      <c r="L102" s="292"/>
      <c r="M102" s="347"/>
    </row>
    <row r="103" spans="1:13" ht="23.25" customHeight="1">
      <c r="A103" s="37" t="s">
        <v>288</v>
      </c>
      <c r="B103" s="140" t="s">
        <v>283</v>
      </c>
      <c r="C103" s="30" t="s">
        <v>192</v>
      </c>
      <c r="D103" s="62">
        <f t="shared" si="6"/>
        <v>55000</v>
      </c>
      <c r="E103" s="63">
        <v>55000</v>
      </c>
      <c r="F103" s="63"/>
      <c r="G103" s="63"/>
      <c r="H103" s="64"/>
      <c r="I103" s="65">
        <f t="shared" si="10"/>
        <v>0</v>
      </c>
      <c r="J103" s="66"/>
      <c r="K103" s="142"/>
      <c r="L103" s="292"/>
      <c r="M103" s="347"/>
    </row>
    <row r="104" spans="1:13" ht="20.25" customHeight="1">
      <c r="A104" s="37" t="s">
        <v>290</v>
      </c>
      <c r="B104" s="140" t="s">
        <v>329</v>
      </c>
      <c r="C104" s="30" t="s">
        <v>193</v>
      </c>
      <c r="D104" s="62">
        <f t="shared" si="6"/>
        <v>11000</v>
      </c>
      <c r="E104" s="63">
        <v>11000</v>
      </c>
      <c r="F104" s="63"/>
      <c r="G104" s="63"/>
      <c r="H104" s="64"/>
      <c r="I104" s="65">
        <f t="shared" si="10"/>
        <v>0</v>
      </c>
      <c r="J104" s="66"/>
      <c r="K104" s="142"/>
      <c r="L104" s="292"/>
      <c r="M104" s="347"/>
    </row>
    <row r="105" spans="1:13" ht="20.25" customHeight="1">
      <c r="A105" s="37" t="s">
        <v>291</v>
      </c>
      <c r="B105" s="140" t="s">
        <v>329</v>
      </c>
      <c r="C105" s="30" t="s">
        <v>194</v>
      </c>
      <c r="D105" s="62">
        <f t="shared" si="6"/>
        <v>3000</v>
      </c>
      <c r="E105" s="63">
        <v>3000</v>
      </c>
      <c r="F105" s="63"/>
      <c r="G105" s="63"/>
      <c r="H105" s="64"/>
      <c r="I105" s="65">
        <f t="shared" si="10"/>
        <v>0</v>
      </c>
      <c r="J105" s="66"/>
      <c r="K105" s="142"/>
      <c r="L105" s="292"/>
      <c r="M105" s="347"/>
    </row>
    <row r="106" spans="1:13" ht="20.25" customHeight="1">
      <c r="A106" s="37" t="s">
        <v>293</v>
      </c>
      <c r="B106" s="140" t="s">
        <v>329</v>
      </c>
      <c r="C106" s="30" t="s">
        <v>195</v>
      </c>
      <c r="D106" s="62">
        <f t="shared" si="6"/>
        <v>6000</v>
      </c>
      <c r="E106" s="63">
        <v>6000</v>
      </c>
      <c r="F106" s="63"/>
      <c r="G106" s="63"/>
      <c r="H106" s="64"/>
      <c r="I106" s="65">
        <f t="shared" si="10"/>
        <v>0</v>
      </c>
      <c r="J106" s="66"/>
      <c r="K106" s="142"/>
      <c r="L106" s="292"/>
      <c r="M106" s="347"/>
    </row>
    <row r="107" spans="1:13" ht="27" customHeight="1">
      <c r="A107" s="72"/>
      <c r="B107" s="34" t="s">
        <v>305</v>
      </c>
      <c r="C107" s="33" t="s">
        <v>154</v>
      </c>
      <c r="D107" s="75">
        <f>SUM(E107:H107)</f>
        <v>12870</v>
      </c>
      <c r="E107" s="35">
        <f>SUM(E108:E109)</f>
        <v>12870</v>
      </c>
      <c r="F107" s="35">
        <f>SUM(F108:F109)</f>
        <v>0</v>
      </c>
      <c r="G107" s="35">
        <f>SUM(G108:G109)</f>
        <v>0</v>
      </c>
      <c r="H107" s="35">
        <f>SUM(H108:H109)</f>
        <v>0</v>
      </c>
      <c r="I107" s="36">
        <f t="shared" si="10"/>
        <v>0</v>
      </c>
      <c r="J107" s="35">
        <f>SUM(J108:J109)</f>
        <v>0</v>
      </c>
      <c r="K107" s="35">
        <f>SUM(K108:K109)</f>
        <v>0</v>
      </c>
      <c r="L107" s="35">
        <f>SUM(L108:L109)</f>
        <v>0</v>
      </c>
      <c r="M107" s="35">
        <f>SUM(M108:M109)</f>
        <v>0</v>
      </c>
    </row>
    <row r="108" spans="1:13" ht="28.5" customHeight="1">
      <c r="A108" s="37" t="s">
        <v>278</v>
      </c>
      <c r="B108" s="39" t="s">
        <v>329</v>
      </c>
      <c r="C108" s="23" t="s">
        <v>155</v>
      </c>
      <c r="D108" s="25">
        <f>SUM(E108:H108)</f>
        <v>8000</v>
      </c>
      <c r="E108" s="69">
        <v>8000</v>
      </c>
      <c r="F108" s="69">
        <v>0</v>
      </c>
      <c r="G108" s="69">
        <v>0</v>
      </c>
      <c r="H108" s="70">
        <v>0</v>
      </c>
      <c r="I108" s="27">
        <f t="shared" si="10"/>
        <v>0</v>
      </c>
      <c r="J108" s="71"/>
      <c r="K108" s="26">
        <v>0</v>
      </c>
      <c r="L108" s="24">
        <v>0</v>
      </c>
      <c r="M108" s="299">
        <v>0</v>
      </c>
    </row>
    <row r="109" spans="1:13" ht="28.5" customHeight="1">
      <c r="A109" s="37" t="s">
        <v>280</v>
      </c>
      <c r="B109" s="39" t="s">
        <v>329</v>
      </c>
      <c r="C109" s="30" t="s">
        <v>196</v>
      </c>
      <c r="D109" s="25">
        <f>SUM(E109:H109)</f>
        <v>4870</v>
      </c>
      <c r="E109" s="63">
        <v>4870</v>
      </c>
      <c r="F109" s="63">
        <v>0</v>
      </c>
      <c r="G109" s="63">
        <v>0</v>
      </c>
      <c r="H109" s="64">
        <v>0</v>
      </c>
      <c r="I109" s="27">
        <f t="shared" si="10"/>
        <v>0</v>
      </c>
      <c r="J109" s="66"/>
      <c r="K109" s="142">
        <v>0</v>
      </c>
      <c r="L109" s="292">
        <v>0</v>
      </c>
      <c r="M109" s="347">
        <v>0</v>
      </c>
    </row>
    <row r="110" spans="1:13" ht="27" customHeight="1">
      <c r="A110" s="72"/>
      <c r="B110" s="34" t="s">
        <v>156</v>
      </c>
      <c r="C110" s="33" t="s">
        <v>157</v>
      </c>
      <c r="D110" s="75">
        <f>SUM(E110:H110)</f>
        <v>17039</v>
      </c>
      <c r="E110" s="35">
        <f>E111</f>
        <v>17039</v>
      </c>
      <c r="F110" s="35">
        <f>F111</f>
        <v>0</v>
      </c>
      <c r="G110" s="35">
        <f>G111</f>
        <v>0</v>
      </c>
      <c r="H110" s="35">
        <f>H111</f>
        <v>0</v>
      </c>
      <c r="I110" s="36">
        <f t="shared" si="10"/>
        <v>0</v>
      </c>
      <c r="J110" s="289">
        <f>J111</f>
        <v>0</v>
      </c>
      <c r="K110" s="289">
        <f>K111</f>
        <v>0</v>
      </c>
      <c r="L110" s="289">
        <f>L111</f>
        <v>0</v>
      </c>
      <c r="M110" s="313">
        <f>M111</f>
        <v>0</v>
      </c>
    </row>
    <row r="111" spans="1:13" ht="33.75" customHeight="1">
      <c r="A111" s="37" t="s">
        <v>278</v>
      </c>
      <c r="B111" s="39" t="s">
        <v>329</v>
      </c>
      <c r="C111" s="23" t="s">
        <v>158</v>
      </c>
      <c r="D111" s="25">
        <f>SUM(E111:H111)</f>
        <v>17039</v>
      </c>
      <c r="E111" s="69">
        <v>17039</v>
      </c>
      <c r="F111" s="69">
        <v>0</v>
      </c>
      <c r="G111" s="69">
        <v>0</v>
      </c>
      <c r="H111" s="70">
        <v>0</v>
      </c>
      <c r="I111" s="27">
        <f t="shared" si="10"/>
        <v>0</v>
      </c>
      <c r="J111" s="71"/>
      <c r="K111" s="26">
        <v>0</v>
      </c>
      <c r="L111" s="24">
        <v>0</v>
      </c>
      <c r="M111" s="299">
        <v>0</v>
      </c>
    </row>
    <row r="112" spans="1:13" ht="30.75" customHeight="1">
      <c r="A112" s="72"/>
      <c r="B112" s="34" t="s">
        <v>42</v>
      </c>
      <c r="C112" s="33" t="s">
        <v>95</v>
      </c>
      <c r="D112" s="75">
        <f aca="true" t="shared" si="11" ref="D112:D120">SUM(E112:H112)</f>
        <v>205000</v>
      </c>
      <c r="E112" s="35">
        <f>SUM(E113:E114)</f>
        <v>160000</v>
      </c>
      <c r="F112" s="35">
        <f>SUM(F113:F114)</f>
        <v>45000</v>
      </c>
      <c r="G112" s="35">
        <f>SUM(G113:G114)</f>
        <v>0</v>
      </c>
      <c r="H112" s="35">
        <f>SUM(H113:H114)</f>
        <v>0</v>
      </c>
      <c r="I112" s="36">
        <f t="shared" si="10"/>
        <v>0</v>
      </c>
      <c r="J112" s="35">
        <f>SUM(J113:J114)</f>
        <v>0</v>
      </c>
      <c r="K112" s="35">
        <f>SUM(K113:K114)</f>
        <v>0</v>
      </c>
      <c r="L112" s="35">
        <f>SUM(L113:L114)</f>
        <v>0</v>
      </c>
      <c r="M112" s="35">
        <f>SUM(M113:M114)</f>
        <v>0</v>
      </c>
    </row>
    <row r="113" spans="1:13" ht="18" customHeight="1">
      <c r="A113" s="37" t="s">
        <v>278</v>
      </c>
      <c r="B113" s="39" t="s">
        <v>283</v>
      </c>
      <c r="C113" s="23" t="s">
        <v>43</v>
      </c>
      <c r="D113" s="25">
        <f t="shared" si="11"/>
        <v>45000</v>
      </c>
      <c r="E113" s="69">
        <v>0</v>
      </c>
      <c r="F113" s="69">
        <v>45000</v>
      </c>
      <c r="G113" s="69">
        <v>0</v>
      </c>
      <c r="H113" s="70">
        <v>0</v>
      </c>
      <c r="I113" s="27">
        <f t="shared" si="10"/>
        <v>0</v>
      </c>
      <c r="J113" s="71">
        <v>0</v>
      </c>
      <c r="K113" s="26"/>
      <c r="L113" s="24">
        <v>0</v>
      </c>
      <c r="M113" s="299">
        <v>0</v>
      </c>
    </row>
    <row r="114" spans="1:13" ht="18" customHeight="1">
      <c r="A114" s="37" t="s">
        <v>278</v>
      </c>
      <c r="B114" s="39" t="s">
        <v>283</v>
      </c>
      <c r="C114" s="23" t="s">
        <v>159</v>
      </c>
      <c r="D114" s="25">
        <f>SUM(E114:H114)</f>
        <v>160000</v>
      </c>
      <c r="E114" s="69">
        <v>160000</v>
      </c>
      <c r="F114" s="69"/>
      <c r="G114" s="69">
        <v>0</v>
      </c>
      <c r="H114" s="70">
        <v>0</v>
      </c>
      <c r="I114" s="27">
        <f t="shared" si="10"/>
        <v>0</v>
      </c>
      <c r="J114" s="71"/>
      <c r="K114" s="26"/>
      <c r="L114" s="24">
        <v>0</v>
      </c>
      <c r="M114" s="299">
        <v>0</v>
      </c>
    </row>
    <row r="115" spans="1:13" ht="25.5" customHeight="1">
      <c r="A115" s="37"/>
      <c r="B115" s="3" t="s">
        <v>219</v>
      </c>
      <c r="C115" s="6" t="s">
        <v>220</v>
      </c>
      <c r="D115" s="38">
        <f>SUM(E115:H115)</f>
        <v>3700</v>
      </c>
      <c r="E115" s="11">
        <f>SUM(E116)</f>
        <v>3700</v>
      </c>
      <c r="F115" s="11">
        <f>SUM(F116)</f>
        <v>0</v>
      </c>
      <c r="G115" s="11">
        <f>SUM(G116)</f>
        <v>0</v>
      </c>
      <c r="H115" s="11">
        <f>SUM(H116)</f>
        <v>0</v>
      </c>
      <c r="I115" s="20">
        <f t="shared" si="10"/>
        <v>0</v>
      </c>
      <c r="J115" s="11">
        <f>SUM(J116)</f>
        <v>0</v>
      </c>
      <c r="K115" s="11">
        <f>SUM(K116)</f>
        <v>0</v>
      </c>
      <c r="L115" s="11">
        <f>SUM(L116)</f>
        <v>0</v>
      </c>
      <c r="M115" s="11">
        <f>SUM(M116)</f>
        <v>0</v>
      </c>
    </row>
    <row r="116" spans="1:13" ht="23.25" customHeight="1">
      <c r="A116" s="37" t="s">
        <v>278</v>
      </c>
      <c r="B116" s="39" t="s">
        <v>103</v>
      </c>
      <c r="C116" s="23" t="s">
        <v>221</v>
      </c>
      <c r="D116" s="25">
        <f>SUM(E116:H116)</f>
        <v>3700</v>
      </c>
      <c r="E116" s="69">
        <v>3700</v>
      </c>
      <c r="F116" s="69"/>
      <c r="G116" s="69"/>
      <c r="H116" s="70"/>
      <c r="I116" s="27">
        <f t="shared" si="10"/>
        <v>0</v>
      </c>
      <c r="J116" s="71"/>
      <c r="K116" s="295"/>
      <c r="L116" s="296"/>
      <c r="M116" s="332"/>
    </row>
    <row r="117" spans="1:13" ht="27" customHeight="1">
      <c r="A117" s="37"/>
      <c r="B117" s="3" t="s">
        <v>356</v>
      </c>
      <c r="C117" s="6" t="s">
        <v>357</v>
      </c>
      <c r="D117" s="38">
        <f t="shared" si="11"/>
        <v>45000</v>
      </c>
      <c r="E117" s="19">
        <f>SUM(E118)</f>
        <v>0</v>
      </c>
      <c r="F117" s="19">
        <f>SUM(F118)</f>
        <v>45000</v>
      </c>
      <c r="G117" s="19">
        <f>SUM(G118)</f>
        <v>0</v>
      </c>
      <c r="H117" s="89">
        <f>SUM(H118)</f>
        <v>0</v>
      </c>
      <c r="I117" s="20">
        <f>SUM(J117:M117)</f>
        <v>0</v>
      </c>
      <c r="J117" s="21">
        <f>SUM(J118)</f>
        <v>0</v>
      </c>
      <c r="K117" s="21"/>
      <c r="L117" s="21">
        <f>SUM(L118)</f>
        <v>0</v>
      </c>
      <c r="M117" s="317">
        <f>SUM(M118)</f>
        <v>0</v>
      </c>
    </row>
    <row r="118" spans="1:13" ht="21" customHeight="1">
      <c r="A118" s="37" t="s">
        <v>278</v>
      </c>
      <c r="B118" s="22" t="s">
        <v>329</v>
      </c>
      <c r="C118" s="103" t="s">
        <v>21</v>
      </c>
      <c r="D118" s="25">
        <f t="shared" si="11"/>
        <v>45000</v>
      </c>
      <c r="E118" s="97">
        <v>0</v>
      </c>
      <c r="F118" s="97">
        <v>45000</v>
      </c>
      <c r="G118" s="97">
        <v>0</v>
      </c>
      <c r="H118" s="98">
        <v>0</v>
      </c>
      <c r="I118" s="27">
        <f>SUM(J118:M118)</f>
        <v>0</v>
      </c>
      <c r="J118" s="99">
        <v>0</v>
      </c>
      <c r="K118" s="26"/>
      <c r="L118" s="24">
        <v>0</v>
      </c>
      <c r="M118" s="299">
        <v>0</v>
      </c>
    </row>
    <row r="119" spans="1:13" ht="30.75" customHeight="1">
      <c r="A119" s="72"/>
      <c r="B119" s="34" t="s">
        <v>129</v>
      </c>
      <c r="C119" s="33" t="s">
        <v>130</v>
      </c>
      <c r="D119" s="75">
        <f t="shared" si="11"/>
        <v>35000</v>
      </c>
      <c r="E119" s="35">
        <f>SUM(E120)</f>
        <v>0</v>
      </c>
      <c r="F119" s="35">
        <f>SUM(F120)</f>
        <v>35000</v>
      </c>
      <c r="G119" s="35">
        <f>SUM(G120)</f>
        <v>0</v>
      </c>
      <c r="H119" s="35">
        <f>SUM(H120)</f>
        <v>0</v>
      </c>
      <c r="I119" s="36">
        <f>SUM(J119:M119)</f>
        <v>0</v>
      </c>
      <c r="J119" s="35">
        <f>SUM(J120)</f>
        <v>0</v>
      </c>
      <c r="K119" s="35">
        <f>SUM(K120)</f>
        <v>0</v>
      </c>
      <c r="L119" s="35">
        <f>SUM(L120)</f>
        <v>0</v>
      </c>
      <c r="M119" s="35">
        <f>SUM(M120)</f>
        <v>0</v>
      </c>
    </row>
    <row r="120" spans="1:13" ht="24" customHeight="1">
      <c r="A120" s="37" t="s">
        <v>278</v>
      </c>
      <c r="B120" s="39" t="s">
        <v>283</v>
      </c>
      <c r="C120" s="23" t="s">
        <v>131</v>
      </c>
      <c r="D120" s="25">
        <f t="shared" si="11"/>
        <v>35000</v>
      </c>
      <c r="E120" s="69">
        <v>0</v>
      </c>
      <c r="F120" s="69">
        <v>35000</v>
      </c>
      <c r="G120" s="69">
        <v>0</v>
      </c>
      <c r="H120" s="70">
        <v>0</v>
      </c>
      <c r="I120" s="27">
        <f>SUM(J120:M120)</f>
        <v>0</v>
      </c>
      <c r="J120" s="71">
        <v>0</v>
      </c>
      <c r="K120" s="26"/>
      <c r="L120" s="24">
        <v>0</v>
      </c>
      <c r="M120" s="299">
        <v>0</v>
      </c>
    </row>
    <row r="121" spans="1:13" ht="42.75" customHeight="1">
      <c r="A121" s="37"/>
      <c r="B121" s="3" t="s">
        <v>308</v>
      </c>
      <c r="C121" s="6" t="s">
        <v>84</v>
      </c>
      <c r="D121" s="38">
        <f t="shared" si="6"/>
        <v>600000</v>
      </c>
      <c r="E121" s="19">
        <f>E122</f>
        <v>0</v>
      </c>
      <c r="F121" s="19">
        <f>F122</f>
        <v>600000</v>
      </c>
      <c r="G121" s="19">
        <f>G122</f>
        <v>0</v>
      </c>
      <c r="H121" s="89">
        <f>H122</f>
        <v>0</v>
      </c>
      <c r="I121" s="20">
        <f aca="true" t="shared" si="12" ref="I121:I131">SUM(J121:M121)</f>
        <v>0</v>
      </c>
      <c r="J121" s="77">
        <f>J122</f>
        <v>0</v>
      </c>
      <c r="K121" s="77">
        <f>K122</f>
        <v>0</v>
      </c>
      <c r="L121" s="9">
        <f>L122</f>
        <v>0</v>
      </c>
      <c r="M121" s="309">
        <f>M122</f>
        <v>0</v>
      </c>
    </row>
    <row r="122" spans="1:13" ht="25.5" customHeight="1">
      <c r="A122" s="37" t="s">
        <v>278</v>
      </c>
      <c r="B122" s="39" t="s">
        <v>283</v>
      </c>
      <c r="C122" s="23" t="s">
        <v>10</v>
      </c>
      <c r="D122" s="25">
        <f>SUM(E122:H122)</f>
        <v>600000</v>
      </c>
      <c r="E122" s="26">
        <v>0</v>
      </c>
      <c r="F122" s="26">
        <v>600000</v>
      </c>
      <c r="G122" s="26">
        <v>0</v>
      </c>
      <c r="H122" s="28">
        <v>0</v>
      </c>
      <c r="I122" s="27">
        <f t="shared" si="12"/>
        <v>0</v>
      </c>
      <c r="J122" s="71">
        <v>0</v>
      </c>
      <c r="K122" s="71"/>
      <c r="L122" s="333">
        <v>0</v>
      </c>
      <c r="M122" s="334">
        <v>0</v>
      </c>
    </row>
    <row r="123" spans="1:13" ht="31.5" customHeight="1">
      <c r="A123" s="72"/>
      <c r="B123" s="34" t="s">
        <v>311</v>
      </c>
      <c r="C123" s="33" t="s">
        <v>85</v>
      </c>
      <c r="D123" s="75">
        <f t="shared" si="6"/>
        <v>100000</v>
      </c>
      <c r="E123" s="78">
        <f>SUM(E124)</f>
        <v>0</v>
      </c>
      <c r="F123" s="78">
        <f>SUM(F124)</f>
        <v>100000</v>
      </c>
      <c r="G123" s="78">
        <f>SUM(G124)</f>
        <v>0</v>
      </c>
      <c r="H123" s="79">
        <f>SUM(H124)</f>
        <v>0</v>
      </c>
      <c r="I123" s="36">
        <f t="shared" si="12"/>
        <v>0</v>
      </c>
      <c r="J123" s="80">
        <f>SUM(J124)</f>
        <v>0</v>
      </c>
      <c r="K123" s="80">
        <f>SUM(K124)</f>
        <v>0</v>
      </c>
      <c r="L123" s="80">
        <f>SUM(L124)</f>
        <v>0</v>
      </c>
      <c r="M123" s="315">
        <f>SUM(M124)</f>
        <v>0</v>
      </c>
    </row>
    <row r="124" spans="1:13" ht="18" customHeight="1">
      <c r="A124" s="37" t="s">
        <v>278</v>
      </c>
      <c r="B124" s="39" t="s">
        <v>283</v>
      </c>
      <c r="C124" s="23" t="s">
        <v>313</v>
      </c>
      <c r="D124" s="25">
        <f t="shared" si="6"/>
        <v>100000</v>
      </c>
      <c r="E124" s="26">
        <v>0</v>
      </c>
      <c r="F124" s="26">
        <v>100000</v>
      </c>
      <c r="G124" s="26">
        <v>0</v>
      </c>
      <c r="H124" s="28">
        <v>0</v>
      </c>
      <c r="I124" s="27">
        <f t="shared" si="12"/>
        <v>0</v>
      </c>
      <c r="J124" s="71">
        <v>0</v>
      </c>
      <c r="K124" s="26"/>
      <c r="L124" s="24">
        <v>0</v>
      </c>
      <c r="M124" s="299">
        <v>0</v>
      </c>
    </row>
    <row r="125" spans="1:13" ht="27" customHeight="1">
      <c r="A125" s="72"/>
      <c r="B125" s="34" t="s">
        <v>314</v>
      </c>
      <c r="C125" s="33" t="s">
        <v>86</v>
      </c>
      <c r="D125" s="75">
        <f>SUM(E125:H125)</f>
        <v>100000</v>
      </c>
      <c r="E125" s="78">
        <f>SUM(E126:E127)</f>
        <v>50000</v>
      </c>
      <c r="F125" s="78">
        <f>SUM(F126:F127)</f>
        <v>50000</v>
      </c>
      <c r="G125" s="78">
        <f>SUM(G126)</f>
        <v>0</v>
      </c>
      <c r="H125" s="79">
        <f>SUM(H126)</f>
        <v>0</v>
      </c>
      <c r="I125" s="36">
        <f t="shared" si="12"/>
        <v>0</v>
      </c>
      <c r="J125" s="80">
        <f>SUM(J126:J127)</f>
        <v>0</v>
      </c>
      <c r="K125" s="78">
        <f>SUM(K126:K127)</f>
        <v>0</v>
      </c>
      <c r="L125" s="81">
        <f>SUM(L126)</f>
        <v>0</v>
      </c>
      <c r="M125" s="316">
        <f>SUM(M126)</f>
        <v>0</v>
      </c>
    </row>
    <row r="126" spans="1:13" ht="40.5" customHeight="1">
      <c r="A126" s="37" t="s">
        <v>278</v>
      </c>
      <c r="B126" s="39" t="s">
        <v>283</v>
      </c>
      <c r="C126" s="23" t="s">
        <v>73</v>
      </c>
      <c r="D126" s="25">
        <f t="shared" si="6"/>
        <v>50000</v>
      </c>
      <c r="E126" s="26">
        <v>50000</v>
      </c>
      <c r="F126" s="26"/>
      <c r="G126" s="26">
        <v>0</v>
      </c>
      <c r="H126" s="28">
        <v>0</v>
      </c>
      <c r="I126" s="27">
        <f t="shared" si="12"/>
        <v>0</v>
      </c>
      <c r="J126" s="71"/>
      <c r="K126" s="26"/>
      <c r="L126" s="24">
        <v>0</v>
      </c>
      <c r="M126" s="299">
        <v>0</v>
      </c>
    </row>
    <row r="127" spans="1:13" ht="27.75" customHeight="1">
      <c r="A127" s="37" t="s">
        <v>280</v>
      </c>
      <c r="B127" s="39" t="s">
        <v>283</v>
      </c>
      <c r="C127" s="30" t="s">
        <v>45</v>
      </c>
      <c r="D127" s="25">
        <f t="shared" si="6"/>
        <v>50000</v>
      </c>
      <c r="E127" s="32"/>
      <c r="F127" s="32">
        <v>50000</v>
      </c>
      <c r="G127" s="32"/>
      <c r="H127" s="73"/>
      <c r="I127" s="27">
        <f t="shared" si="12"/>
        <v>0</v>
      </c>
      <c r="J127" s="66"/>
      <c r="K127" s="32"/>
      <c r="L127" s="31"/>
      <c r="M127" s="165"/>
    </row>
    <row r="128" spans="1:16" ht="29.25" customHeight="1">
      <c r="A128" s="33"/>
      <c r="B128" s="34" t="s">
        <v>317</v>
      </c>
      <c r="C128" s="33" t="s">
        <v>87</v>
      </c>
      <c r="D128" s="75">
        <f>SUM(E128:H128)</f>
        <v>4278000</v>
      </c>
      <c r="E128" s="35">
        <f>E129+E132+E133+E134+E135+E136+E137+E141+E142+E143+E144+E145+E146+E148+E150+E151+E153+E152+E131+E130+E155</f>
        <v>783000</v>
      </c>
      <c r="F128" s="35">
        <f>F129+F132+F133+F134+F135+F136+F137+F141+F142+F143+F144+F145+F146+F148+F150+F151+F153+F152+F131+F130+F155</f>
        <v>3016800</v>
      </c>
      <c r="G128" s="35">
        <f>G129+G132+G133+G134+G135+G136+G137+G141+G142+G143+G144+G145+G146+G148+G150+G151+G153+G152+G131+G130+G155</f>
        <v>478200</v>
      </c>
      <c r="H128" s="35">
        <f>H129+H132+H133+H134+H135+H136+H137+H141+H142+H143+H144+H145+H146+H148+H150+H151+H153+H152+H131+H130+H155</f>
        <v>0</v>
      </c>
      <c r="I128" s="36">
        <f t="shared" si="12"/>
        <v>0</v>
      </c>
      <c r="J128" s="35">
        <f>J129+J132+J133+J134+J135+J136+J137+J141+J142+J143+J144+J145+J146+J148+J150+J151+J153+J152+J131+J130+J155</f>
        <v>0</v>
      </c>
      <c r="K128" s="35">
        <f>K129+K132+K133+K134+K135+K136+K137+K141+K142+K143+K144+K145+K146+K148+K150+K151+K153+K152+K131+K130+K155</f>
        <v>0</v>
      </c>
      <c r="L128" s="35">
        <f>L129+L132+L133+L134+L135+L136+L137+L141+L142+L143+L144+L145+L146+L148+L150+L151+L153+L152+L131+L130+L155</f>
        <v>0</v>
      </c>
      <c r="M128" s="35">
        <f>M129+M132+M133+M134+M135+M136+M137+M141+M142+M143+M144+M145+M146+M148+M150+M151+M153+M152+M131+M130+M155</f>
        <v>0</v>
      </c>
      <c r="P128" s="138" t="s">
        <v>554</v>
      </c>
    </row>
    <row r="129" spans="1:19" s="337" customFormat="1" ht="24.75" customHeight="1">
      <c r="A129" s="49" t="s">
        <v>278</v>
      </c>
      <c r="B129" s="50" t="s">
        <v>283</v>
      </c>
      <c r="C129" s="51" t="s">
        <v>160</v>
      </c>
      <c r="D129" s="61">
        <f t="shared" si="6"/>
        <v>650000</v>
      </c>
      <c r="E129" s="53">
        <v>400000</v>
      </c>
      <c r="F129" s="53">
        <v>250000</v>
      </c>
      <c r="G129" s="53">
        <v>0</v>
      </c>
      <c r="H129" s="88">
        <v>0</v>
      </c>
      <c r="I129" s="56">
        <f t="shared" si="12"/>
        <v>0</v>
      </c>
      <c r="J129" s="57"/>
      <c r="K129" s="58"/>
      <c r="L129" s="59">
        <v>0</v>
      </c>
      <c r="M129" s="85">
        <v>0</v>
      </c>
      <c r="O129" s="164"/>
      <c r="P129" s="164"/>
      <c r="Q129" s="338"/>
      <c r="R129" s="338"/>
      <c r="S129" s="338"/>
    </row>
    <row r="130" spans="1:13" ht="24.75" customHeight="1">
      <c r="A130" s="49" t="s">
        <v>280</v>
      </c>
      <c r="B130" s="50" t="s">
        <v>283</v>
      </c>
      <c r="C130" s="51" t="s">
        <v>223</v>
      </c>
      <c r="D130" s="61">
        <f t="shared" si="6"/>
        <v>40000</v>
      </c>
      <c r="E130" s="53">
        <v>40000</v>
      </c>
      <c r="F130" s="53"/>
      <c r="G130" s="53"/>
      <c r="H130" s="88"/>
      <c r="I130" s="56">
        <f t="shared" si="12"/>
        <v>0</v>
      </c>
      <c r="J130" s="57"/>
      <c r="K130" s="58"/>
      <c r="L130" s="59"/>
      <c r="M130" s="85"/>
    </row>
    <row r="131" spans="1:13" ht="24.75" customHeight="1">
      <c r="A131" s="49" t="s">
        <v>282</v>
      </c>
      <c r="B131" s="50" t="s">
        <v>29</v>
      </c>
      <c r="C131" s="51" t="s">
        <v>183</v>
      </c>
      <c r="D131" s="61">
        <f t="shared" si="6"/>
        <v>55000</v>
      </c>
      <c r="E131" s="53"/>
      <c r="F131" s="53">
        <v>55000</v>
      </c>
      <c r="G131" s="53"/>
      <c r="H131" s="88"/>
      <c r="I131" s="56">
        <f t="shared" si="12"/>
        <v>0</v>
      </c>
      <c r="J131" s="57"/>
      <c r="K131" s="58"/>
      <c r="L131" s="59"/>
      <c r="M131" s="85"/>
    </row>
    <row r="132" spans="1:13" ht="18.75" customHeight="1">
      <c r="A132" s="49" t="s">
        <v>284</v>
      </c>
      <c r="B132" s="39" t="s">
        <v>283</v>
      </c>
      <c r="C132" s="23" t="s">
        <v>580</v>
      </c>
      <c r="D132" s="25">
        <f aca="true" t="shared" si="13" ref="D132:D155">SUM(E132:H132)</f>
        <v>110000</v>
      </c>
      <c r="E132" s="83">
        <v>0</v>
      </c>
      <c r="F132" s="83">
        <v>110000</v>
      </c>
      <c r="G132" s="83"/>
      <c r="H132" s="84">
        <v>0</v>
      </c>
      <c r="I132" s="56">
        <f aca="true" t="shared" si="14" ref="I132:I146">SUM(J132:M132)</f>
        <v>0</v>
      </c>
      <c r="J132" s="71">
        <v>0</v>
      </c>
      <c r="K132" s="26"/>
      <c r="L132" s="24"/>
      <c r="M132" s="299">
        <v>0</v>
      </c>
    </row>
    <row r="133" spans="1:13" ht="19.5" customHeight="1">
      <c r="A133" s="49" t="s">
        <v>286</v>
      </c>
      <c r="B133" s="50" t="s">
        <v>283</v>
      </c>
      <c r="C133" s="51" t="s">
        <v>421</v>
      </c>
      <c r="D133" s="61">
        <f t="shared" si="13"/>
        <v>150000</v>
      </c>
      <c r="E133" s="53"/>
      <c r="F133" s="53">
        <v>150000</v>
      </c>
      <c r="G133" s="53"/>
      <c r="H133" s="88">
        <v>0</v>
      </c>
      <c r="I133" s="56">
        <f t="shared" si="14"/>
        <v>0</v>
      </c>
      <c r="J133" s="57"/>
      <c r="K133" s="58"/>
      <c r="L133" s="59"/>
      <c r="M133" s="297">
        <v>0</v>
      </c>
    </row>
    <row r="134" spans="1:14" ht="27.75" customHeight="1">
      <c r="A134" s="49" t="s">
        <v>287</v>
      </c>
      <c r="B134" s="39" t="s">
        <v>283</v>
      </c>
      <c r="C134" s="23" t="s">
        <v>74</v>
      </c>
      <c r="D134" s="25">
        <f t="shared" si="13"/>
        <v>164000</v>
      </c>
      <c r="E134" s="83">
        <v>33000</v>
      </c>
      <c r="F134" s="83">
        <v>131000</v>
      </c>
      <c r="G134" s="83">
        <v>0</v>
      </c>
      <c r="H134" s="84">
        <v>0</v>
      </c>
      <c r="I134" s="27">
        <f t="shared" si="14"/>
        <v>0</v>
      </c>
      <c r="J134" s="71"/>
      <c r="K134" s="26"/>
      <c r="L134" s="24">
        <v>0</v>
      </c>
      <c r="M134" s="299">
        <v>0</v>
      </c>
      <c r="N134" s="327"/>
    </row>
    <row r="135" spans="1:15" ht="20.25" customHeight="1">
      <c r="A135" s="49" t="s">
        <v>288</v>
      </c>
      <c r="B135" s="39" t="s">
        <v>283</v>
      </c>
      <c r="C135" s="23" t="s">
        <v>197</v>
      </c>
      <c r="D135" s="25">
        <f t="shared" si="13"/>
        <v>70000</v>
      </c>
      <c r="E135" s="83">
        <v>8000</v>
      </c>
      <c r="F135" s="83">
        <v>62000</v>
      </c>
      <c r="G135" s="83">
        <v>0</v>
      </c>
      <c r="H135" s="84">
        <v>0</v>
      </c>
      <c r="I135" s="27">
        <f t="shared" si="14"/>
        <v>0</v>
      </c>
      <c r="J135" s="71"/>
      <c r="K135" s="26"/>
      <c r="L135" s="24">
        <v>0</v>
      </c>
      <c r="M135" s="299">
        <v>0</v>
      </c>
      <c r="N135" s="327"/>
      <c r="O135" s="138" t="s">
        <v>435</v>
      </c>
    </row>
    <row r="136" spans="1:14" ht="21.75" customHeight="1">
      <c r="A136" s="49" t="s">
        <v>290</v>
      </c>
      <c r="B136" s="39" t="s">
        <v>283</v>
      </c>
      <c r="C136" s="23" t="s">
        <v>595</v>
      </c>
      <c r="D136" s="25">
        <f t="shared" si="13"/>
        <v>20000</v>
      </c>
      <c r="E136" s="83">
        <v>0</v>
      </c>
      <c r="F136" s="83">
        <v>20000</v>
      </c>
      <c r="G136" s="83">
        <v>0</v>
      </c>
      <c r="H136" s="84">
        <v>0</v>
      </c>
      <c r="I136" s="27">
        <f t="shared" si="14"/>
        <v>0</v>
      </c>
      <c r="J136" s="71"/>
      <c r="K136" s="26"/>
      <c r="L136" s="24">
        <v>0</v>
      </c>
      <c r="M136" s="299">
        <v>0</v>
      </c>
      <c r="N136" s="327"/>
    </row>
    <row r="137" spans="1:14" ht="28.5" customHeight="1">
      <c r="A137" s="49" t="s">
        <v>291</v>
      </c>
      <c r="B137" s="39" t="s">
        <v>283</v>
      </c>
      <c r="C137" s="23" t="s">
        <v>83</v>
      </c>
      <c r="D137" s="25">
        <f t="shared" si="13"/>
        <v>50000</v>
      </c>
      <c r="E137" s="83"/>
      <c r="F137" s="83">
        <v>50000</v>
      </c>
      <c r="G137" s="83"/>
      <c r="H137" s="84"/>
      <c r="I137" s="27">
        <f t="shared" si="14"/>
        <v>0</v>
      </c>
      <c r="J137" s="71"/>
      <c r="K137" s="295"/>
      <c r="L137" s="296"/>
      <c r="M137" s="332"/>
      <c r="N137" s="327"/>
    </row>
    <row r="138" spans="1:70" s="326" customFormat="1" ht="11.25" customHeight="1">
      <c r="A138" s="422" t="s">
        <v>293</v>
      </c>
      <c r="B138" s="50" t="s">
        <v>283</v>
      </c>
      <c r="C138" s="425" t="s">
        <v>66</v>
      </c>
      <c r="D138" s="61">
        <f t="shared" si="13"/>
        <v>750000</v>
      </c>
      <c r="E138" s="53">
        <v>0</v>
      </c>
      <c r="F138" s="53">
        <v>750000</v>
      </c>
      <c r="G138" s="53"/>
      <c r="H138" s="88">
        <v>0</v>
      </c>
      <c r="I138" s="56">
        <f t="shared" si="14"/>
        <v>0</v>
      </c>
      <c r="J138" s="57"/>
      <c r="K138" s="58"/>
      <c r="L138" s="59"/>
      <c r="M138" s="297">
        <v>0</v>
      </c>
      <c r="N138" s="304"/>
      <c r="O138" s="138"/>
      <c r="P138" s="138"/>
      <c r="Q138" s="2"/>
      <c r="R138" s="2"/>
      <c r="S138" s="2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4"/>
      <c r="AU138" s="304"/>
      <c r="AV138" s="304"/>
      <c r="AW138" s="304"/>
      <c r="AX138" s="304"/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</row>
    <row r="139" spans="1:70" s="326" customFormat="1" ht="13.5" customHeight="1">
      <c r="A139" s="423"/>
      <c r="B139" s="294" t="s">
        <v>319</v>
      </c>
      <c r="C139" s="426"/>
      <c r="D139" s="43">
        <f t="shared" si="13"/>
        <v>330000</v>
      </c>
      <c r="E139" s="170">
        <v>0</v>
      </c>
      <c r="F139" s="170">
        <v>330000</v>
      </c>
      <c r="G139" s="170"/>
      <c r="H139" s="171"/>
      <c r="I139" s="46">
        <f t="shared" si="14"/>
        <v>0</v>
      </c>
      <c r="J139" s="47"/>
      <c r="K139" s="44"/>
      <c r="L139" s="48"/>
      <c r="M139" s="169"/>
      <c r="N139" s="304"/>
      <c r="O139" s="138"/>
      <c r="P139" s="138"/>
      <c r="Q139" s="2"/>
      <c r="R139" s="2"/>
      <c r="S139" s="2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4"/>
      <c r="AU139" s="304"/>
      <c r="AV139" s="304"/>
      <c r="AW139" s="304"/>
      <c r="AX139" s="304"/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4"/>
      <c r="BN139" s="304"/>
      <c r="BO139" s="304"/>
      <c r="BP139" s="304"/>
      <c r="BQ139" s="304"/>
      <c r="BR139" s="304"/>
    </row>
    <row r="140" spans="1:19" s="304" customFormat="1" ht="12" customHeight="1">
      <c r="A140" s="423"/>
      <c r="B140" s="140" t="s">
        <v>370</v>
      </c>
      <c r="C140" s="427"/>
      <c r="D140" s="62">
        <f t="shared" si="13"/>
        <v>170000</v>
      </c>
      <c r="E140" s="86"/>
      <c r="F140" s="86">
        <v>170000</v>
      </c>
      <c r="G140" s="86"/>
      <c r="H140" s="87"/>
      <c r="I140" s="65">
        <f t="shared" si="14"/>
        <v>0</v>
      </c>
      <c r="J140" s="66"/>
      <c r="K140" s="32"/>
      <c r="L140" s="31"/>
      <c r="M140" s="165"/>
      <c r="O140" s="138"/>
      <c r="P140" s="138"/>
      <c r="Q140" s="2"/>
      <c r="R140" s="2"/>
      <c r="S140" s="2"/>
    </row>
    <row r="141" spans="1:19" s="304" customFormat="1" ht="15.75" customHeight="1">
      <c r="A141" s="348"/>
      <c r="B141" s="339" t="s">
        <v>461</v>
      </c>
      <c r="C141" s="336"/>
      <c r="D141" s="61">
        <f t="shared" si="13"/>
        <v>1250000</v>
      </c>
      <c r="E141" s="170">
        <f>SUM(E138:E140)</f>
        <v>0</v>
      </c>
      <c r="F141" s="170">
        <f>SUM(F138:F140)</f>
        <v>1250000</v>
      </c>
      <c r="G141" s="170">
        <f>SUM(G138:G140)</f>
        <v>0</v>
      </c>
      <c r="H141" s="170">
        <f>SUM(H138:H140)</f>
        <v>0</v>
      </c>
      <c r="I141" s="56">
        <f t="shared" si="14"/>
        <v>0</v>
      </c>
      <c r="J141" s="170">
        <f>SUM(J138:J140)</f>
        <v>0</v>
      </c>
      <c r="K141" s="170">
        <f>SUM(K138:K140)</f>
        <v>0</v>
      </c>
      <c r="L141" s="170">
        <f>SUM(L138:L140)</f>
        <v>0</v>
      </c>
      <c r="M141" s="170">
        <f>SUM(M138:M140)</f>
        <v>0</v>
      </c>
      <c r="O141" s="138"/>
      <c r="P141" s="138"/>
      <c r="Q141" s="2"/>
      <c r="R141" s="2"/>
      <c r="S141" s="2"/>
    </row>
    <row r="142" spans="1:13" ht="18" customHeight="1">
      <c r="A142" s="349" t="s">
        <v>294</v>
      </c>
      <c r="B142" s="39" t="s">
        <v>29</v>
      </c>
      <c r="C142" s="350" t="s">
        <v>38</v>
      </c>
      <c r="D142" s="25">
        <f t="shared" si="13"/>
        <v>170000</v>
      </c>
      <c r="E142" s="83"/>
      <c r="F142" s="83">
        <v>43800</v>
      </c>
      <c r="G142" s="83">
        <v>126200</v>
      </c>
      <c r="H142" s="84"/>
      <c r="I142" s="27">
        <f t="shared" si="14"/>
        <v>0</v>
      </c>
      <c r="J142" s="351"/>
      <c r="K142" s="83"/>
      <c r="L142" s="83"/>
      <c r="M142" s="83"/>
    </row>
    <row r="143" spans="1:13" ht="18" customHeight="1">
      <c r="A143" s="349" t="s">
        <v>295</v>
      </c>
      <c r="B143" s="39" t="s">
        <v>283</v>
      </c>
      <c r="C143" s="350" t="s">
        <v>60</v>
      </c>
      <c r="D143" s="25">
        <f t="shared" si="13"/>
        <v>100000</v>
      </c>
      <c r="E143" s="83"/>
      <c r="F143" s="83">
        <v>100000</v>
      </c>
      <c r="G143" s="83"/>
      <c r="H143" s="84"/>
      <c r="I143" s="27">
        <f t="shared" si="14"/>
        <v>0</v>
      </c>
      <c r="J143" s="351"/>
      <c r="K143" s="83"/>
      <c r="L143" s="83"/>
      <c r="M143" s="83"/>
    </row>
    <row r="144" spans="1:13" ht="36.75" customHeight="1">
      <c r="A144" s="349" t="s">
        <v>297</v>
      </c>
      <c r="B144" s="39" t="s">
        <v>283</v>
      </c>
      <c r="C144" s="350" t="s">
        <v>72</v>
      </c>
      <c r="D144" s="25">
        <f t="shared" si="13"/>
        <v>242000</v>
      </c>
      <c r="E144" s="83"/>
      <c r="F144" s="83">
        <v>120000</v>
      </c>
      <c r="G144" s="83">
        <v>122000</v>
      </c>
      <c r="H144" s="84"/>
      <c r="I144" s="27">
        <f t="shared" si="14"/>
        <v>0</v>
      </c>
      <c r="J144" s="351"/>
      <c r="K144" s="83"/>
      <c r="L144" s="83"/>
      <c r="M144" s="83"/>
    </row>
    <row r="145" spans="1:13" ht="25.5" customHeight="1">
      <c r="A145" s="349" t="s">
        <v>415</v>
      </c>
      <c r="B145" s="39" t="s">
        <v>283</v>
      </c>
      <c r="C145" s="350" t="s">
        <v>88</v>
      </c>
      <c r="D145" s="25">
        <f t="shared" si="13"/>
        <v>300000</v>
      </c>
      <c r="E145" s="83"/>
      <c r="F145" s="83">
        <v>300000</v>
      </c>
      <c r="G145" s="83"/>
      <c r="H145" s="84"/>
      <c r="I145" s="27">
        <f t="shared" si="14"/>
        <v>0</v>
      </c>
      <c r="J145" s="351"/>
      <c r="K145" s="83"/>
      <c r="L145" s="83"/>
      <c r="M145" s="83"/>
    </row>
    <row r="146" spans="1:13" ht="29.25" customHeight="1">
      <c r="A146" s="418" t="s">
        <v>517</v>
      </c>
      <c r="B146" s="50" t="s">
        <v>29</v>
      </c>
      <c r="C146" s="352" t="s">
        <v>51</v>
      </c>
      <c r="D146" s="61">
        <f t="shared" si="13"/>
        <v>300000</v>
      </c>
      <c r="E146" s="53">
        <v>15000</v>
      </c>
      <c r="F146" s="53">
        <v>285000</v>
      </c>
      <c r="G146" s="53"/>
      <c r="H146" s="88"/>
      <c r="I146" s="56">
        <f t="shared" si="14"/>
        <v>0</v>
      </c>
      <c r="J146" s="353"/>
      <c r="K146" s="53"/>
      <c r="L146" s="53"/>
      <c r="M146" s="53"/>
    </row>
    <row r="147" spans="1:13" ht="12" customHeight="1">
      <c r="A147" s="463"/>
      <c r="B147" s="294"/>
      <c r="C147" s="336"/>
      <c r="D147" s="43"/>
      <c r="E147" s="170" t="s">
        <v>547</v>
      </c>
      <c r="F147" s="170"/>
      <c r="G147" s="170"/>
      <c r="H147" s="171"/>
      <c r="I147" s="46"/>
      <c r="J147" s="345" t="s">
        <v>547</v>
      </c>
      <c r="K147" s="170"/>
      <c r="L147" s="170"/>
      <c r="M147" s="170"/>
    </row>
    <row r="148" spans="1:19" s="337" customFormat="1" ht="24" customHeight="1">
      <c r="A148" s="418" t="s">
        <v>541</v>
      </c>
      <c r="B148" s="50" t="s">
        <v>29</v>
      </c>
      <c r="C148" s="352" t="s">
        <v>113</v>
      </c>
      <c r="D148" s="61">
        <f t="shared" si="13"/>
        <v>210000</v>
      </c>
      <c r="E148" s="53">
        <v>120000</v>
      </c>
      <c r="F148" s="53"/>
      <c r="G148" s="53">
        <v>90000</v>
      </c>
      <c r="H148" s="88"/>
      <c r="I148" s="56">
        <f>SUM(J148:M148)</f>
        <v>0</v>
      </c>
      <c r="J148" s="353"/>
      <c r="K148" s="53"/>
      <c r="L148" s="53"/>
      <c r="M148" s="53"/>
      <c r="O148" s="164"/>
      <c r="P148" s="164"/>
      <c r="Q148" s="338"/>
      <c r="R148" s="338"/>
      <c r="S148" s="338"/>
    </row>
    <row r="149" spans="1:19" s="319" customFormat="1" ht="12" customHeight="1">
      <c r="A149" s="463"/>
      <c r="B149" s="140"/>
      <c r="C149" s="355"/>
      <c r="D149" s="62"/>
      <c r="E149" s="63" t="s">
        <v>187</v>
      </c>
      <c r="F149" s="86"/>
      <c r="G149" s="86"/>
      <c r="H149" s="87"/>
      <c r="I149" s="65"/>
      <c r="J149" s="370"/>
      <c r="K149" s="86"/>
      <c r="L149" s="86"/>
      <c r="M149" s="86"/>
      <c r="O149" s="364"/>
      <c r="P149" s="364"/>
      <c r="Q149" s="133"/>
      <c r="R149" s="133"/>
      <c r="S149" s="133"/>
    </row>
    <row r="150" spans="1:13" ht="28.5" customHeight="1">
      <c r="A150" s="372" t="s">
        <v>102</v>
      </c>
      <c r="B150" s="140" t="s">
        <v>107</v>
      </c>
      <c r="C150" s="355" t="s">
        <v>114</v>
      </c>
      <c r="D150" s="43">
        <f t="shared" si="13"/>
        <v>30000</v>
      </c>
      <c r="E150" s="86"/>
      <c r="F150" s="86">
        <v>30000</v>
      </c>
      <c r="G150" s="86"/>
      <c r="H150" s="87"/>
      <c r="I150" s="46">
        <f>SUM(J150:M150)</f>
        <v>0</v>
      </c>
      <c r="J150" s="370"/>
      <c r="K150" s="86"/>
      <c r="L150" s="86"/>
      <c r="M150" s="86"/>
    </row>
    <row r="151" spans="1:13" ht="27.75" customHeight="1">
      <c r="A151" s="356" t="s">
        <v>133</v>
      </c>
      <c r="B151" s="50" t="s">
        <v>29</v>
      </c>
      <c r="C151" s="352" t="s">
        <v>108</v>
      </c>
      <c r="D151" s="61">
        <f t="shared" si="13"/>
        <v>20000</v>
      </c>
      <c r="E151" s="53"/>
      <c r="F151" s="53">
        <v>20000</v>
      </c>
      <c r="G151" s="53"/>
      <c r="H151" s="88"/>
      <c r="I151" s="56">
        <f>SUM(J151:M151)</f>
        <v>0</v>
      </c>
      <c r="J151" s="353"/>
      <c r="K151" s="53"/>
      <c r="L151" s="53"/>
      <c r="M151" s="53"/>
    </row>
    <row r="152" spans="1:13" ht="36" customHeight="1">
      <c r="A152" s="356" t="s">
        <v>182</v>
      </c>
      <c r="B152" s="50" t="s">
        <v>283</v>
      </c>
      <c r="C152" s="352" t="s">
        <v>134</v>
      </c>
      <c r="D152" s="61">
        <f t="shared" si="13"/>
        <v>40000</v>
      </c>
      <c r="E152" s="53"/>
      <c r="F152" s="53">
        <v>40000</v>
      </c>
      <c r="G152" s="53"/>
      <c r="H152" s="88"/>
      <c r="I152" s="56">
        <f>SUM(J152:M152)</f>
        <v>0</v>
      </c>
      <c r="J152" s="353"/>
      <c r="K152" s="53"/>
      <c r="L152" s="53"/>
      <c r="M152" s="53"/>
    </row>
    <row r="153" spans="1:19" s="337" customFormat="1" ht="27" customHeight="1">
      <c r="A153" s="356" t="s">
        <v>224</v>
      </c>
      <c r="B153" s="50" t="s">
        <v>29</v>
      </c>
      <c r="C153" s="352" t="s">
        <v>143</v>
      </c>
      <c r="D153" s="61">
        <f t="shared" si="13"/>
        <v>240000</v>
      </c>
      <c r="E153" s="53">
        <v>100000</v>
      </c>
      <c r="F153" s="53"/>
      <c r="G153" s="53">
        <v>140000</v>
      </c>
      <c r="H153" s="88"/>
      <c r="I153" s="56">
        <f>SUM(J153:M153)</f>
        <v>0</v>
      </c>
      <c r="J153" s="353"/>
      <c r="K153" s="53"/>
      <c r="L153" s="53"/>
      <c r="M153" s="53"/>
      <c r="O153" s="164"/>
      <c r="P153" s="164"/>
      <c r="Q153" s="338"/>
      <c r="R153" s="338"/>
      <c r="S153" s="338"/>
    </row>
    <row r="154" spans="1:19" s="319" customFormat="1" ht="12.75" customHeight="1">
      <c r="A154" s="356"/>
      <c r="B154" s="140"/>
      <c r="C154" s="355"/>
      <c r="D154" s="61"/>
      <c r="E154" s="69" t="s">
        <v>188</v>
      </c>
      <c r="F154" s="86"/>
      <c r="G154" s="86"/>
      <c r="H154" s="87"/>
      <c r="I154" s="65"/>
      <c r="J154" s="370"/>
      <c r="K154" s="86"/>
      <c r="L154" s="86"/>
      <c r="M154" s="86"/>
      <c r="O154" s="364"/>
      <c r="P154" s="364"/>
      <c r="Q154" s="133"/>
      <c r="R154" s="133"/>
      <c r="S154" s="133"/>
    </row>
    <row r="155" spans="1:15" ht="25.5" customHeight="1">
      <c r="A155" s="372" t="s">
        <v>198</v>
      </c>
      <c r="B155" s="39" t="s">
        <v>29</v>
      </c>
      <c r="C155" s="350" t="s">
        <v>199</v>
      </c>
      <c r="D155" s="25">
        <f t="shared" si="13"/>
        <v>67000</v>
      </c>
      <c r="E155" s="69">
        <v>67000</v>
      </c>
      <c r="F155" s="83"/>
      <c r="G155" s="83"/>
      <c r="H155" s="84"/>
      <c r="I155" s="27">
        <f aca="true" t="shared" si="15" ref="I155:I160">SUM(J155:M155)</f>
        <v>0</v>
      </c>
      <c r="J155" s="351"/>
      <c r="K155" s="83"/>
      <c r="L155" s="83"/>
      <c r="M155" s="83"/>
      <c r="N155" s="163"/>
      <c r="O155" s="304"/>
    </row>
    <row r="156" spans="1:14" ht="29.25" customHeight="1">
      <c r="A156" s="33"/>
      <c r="B156" s="339" t="s">
        <v>518</v>
      </c>
      <c r="C156" s="173" t="s">
        <v>93</v>
      </c>
      <c r="D156" s="357">
        <f>SUM(E156:H156)</f>
        <v>400000</v>
      </c>
      <c r="E156" s="358">
        <f>SUM(E157:E157)</f>
        <v>0</v>
      </c>
      <c r="F156" s="358">
        <f>SUM(F157:F157)</f>
        <v>400000</v>
      </c>
      <c r="G156" s="358">
        <f>SUM(G157:G157)</f>
        <v>0</v>
      </c>
      <c r="H156" s="358">
        <f>SUM(H157:H157)</f>
        <v>0</v>
      </c>
      <c r="I156" s="359">
        <f t="shared" si="15"/>
        <v>0</v>
      </c>
      <c r="J156" s="360">
        <f>SUM(J157:J157)</f>
        <v>0</v>
      </c>
      <c r="K156" s="360">
        <f>SUM(K157:K157)</f>
        <v>0</v>
      </c>
      <c r="L156" s="360">
        <f>SUM(L157:L157)</f>
        <v>0</v>
      </c>
      <c r="M156" s="360">
        <f>SUM(M157:M157)</f>
        <v>0</v>
      </c>
      <c r="N156" s="327"/>
    </row>
    <row r="157" spans="1:19" s="320" customFormat="1" ht="23.25" customHeight="1">
      <c r="A157" s="381" t="s">
        <v>278</v>
      </c>
      <c r="B157" s="39" t="s">
        <v>403</v>
      </c>
      <c r="C157" s="369" t="s">
        <v>125</v>
      </c>
      <c r="D157" s="25">
        <f aca="true" t="shared" si="16" ref="D157:D166">SUM(E157:H157)</f>
        <v>400000</v>
      </c>
      <c r="E157" s="26"/>
      <c r="F157" s="26">
        <v>400000</v>
      </c>
      <c r="G157" s="26"/>
      <c r="H157" s="26"/>
      <c r="I157" s="69">
        <f t="shared" si="15"/>
        <v>0</v>
      </c>
      <c r="J157" s="69"/>
      <c r="K157" s="26"/>
      <c r="L157" s="24"/>
      <c r="M157" s="299"/>
      <c r="O157" s="163"/>
      <c r="P157" s="163"/>
      <c r="Q157" s="134"/>
      <c r="R157" s="134"/>
      <c r="S157" s="134"/>
    </row>
    <row r="158" spans="1:14" ht="29.25" customHeight="1">
      <c r="A158" s="173"/>
      <c r="B158" s="339" t="s">
        <v>446</v>
      </c>
      <c r="C158" s="173" t="s">
        <v>225</v>
      </c>
      <c r="D158" s="357">
        <f>SUM(E158:H158)</f>
        <v>1600000</v>
      </c>
      <c r="E158" s="358">
        <f>SUM(E159:E160)</f>
        <v>22266</v>
      </c>
      <c r="F158" s="358">
        <f>SUM(F159:F160)</f>
        <v>0</v>
      </c>
      <c r="G158" s="358">
        <f>SUM(G159:G160)</f>
        <v>0</v>
      </c>
      <c r="H158" s="358">
        <f>SUM(H159:H160)</f>
        <v>1577734</v>
      </c>
      <c r="I158" s="11">
        <f t="shared" si="15"/>
        <v>0</v>
      </c>
      <c r="J158" s="360">
        <f>SUM(J159:J160)</f>
        <v>0</v>
      </c>
      <c r="K158" s="361">
        <f>SUM(K159:K160)</f>
        <v>0</v>
      </c>
      <c r="L158" s="362">
        <f>SUM(L159:L160)</f>
        <v>0</v>
      </c>
      <c r="M158" s="363">
        <f>SUM(M159:M160)</f>
        <v>0</v>
      </c>
      <c r="N158" s="327"/>
    </row>
    <row r="159" spans="1:19" s="337" customFormat="1" ht="17.25" customHeight="1">
      <c r="A159" s="381"/>
      <c r="B159" s="50" t="s">
        <v>403</v>
      </c>
      <c r="C159" s="425" t="s">
        <v>326</v>
      </c>
      <c r="D159" s="61">
        <f>SUM(E159:H159)</f>
        <v>1000000</v>
      </c>
      <c r="E159" s="58">
        <v>22266</v>
      </c>
      <c r="F159" s="58">
        <v>0</v>
      </c>
      <c r="G159" s="58">
        <v>0</v>
      </c>
      <c r="H159" s="166">
        <v>977734</v>
      </c>
      <c r="I159" s="56">
        <f t="shared" si="15"/>
        <v>0</v>
      </c>
      <c r="J159" s="57"/>
      <c r="K159" s="58">
        <v>0</v>
      </c>
      <c r="L159" s="59">
        <v>0</v>
      </c>
      <c r="M159" s="297"/>
      <c r="O159" s="164"/>
      <c r="P159" s="164"/>
      <c r="Q159" s="338"/>
      <c r="R159" s="338"/>
      <c r="S159" s="338"/>
    </row>
    <row r="160" spans="1:14" ht="15.75" customHeight="1">
      <c r="A160" s="381"/>
      <c r="B160" s="140" t="s">
        <v>109</v>
      </c>
      <c r="C160" s="427"/>
      <c r="D160" s="62">
        <f>SUM(E160:H160)</f>
        <v>600000</v>
      </c>
      <c r="E160" s="32"/>
      <c r="F160" s="32"/>
      <c r="G160" s="32"/>
      <c r="H160" s="73">
        <v>600000</v>
      </c>
      <c r="I160" s="65">
        <f t="shared" si="15"/>
        <v>0</v>
      </c>
      <c r="J160" s="66"/>
      <c r="K160" s="32"/>
      <c r="L160" s="31"/>
      <c r="M160" s="165"/>
      <c r="N160" s="327"/>
    </row>
    <row r="161" spans="1:14" ht="27" customHeight="1">
      <c r="A161" s="33"/>
      <c r="B161" s="34" t="s">
        <v>599</v>
      </c>
      <c r="C161" s="33" t="s">
        <v>94</v>
      </c>
      <c r="D161" s="75">
        <f t="shared" si="16"/>
        <v>1280000</v>
      </c>
      <c r="E161" s="35">
        <f>SUM(E162:E164)</f>
        <v>1130000</v>
      </c>
      <c r="F161" s="35">
        <f>SUM(F162:F164)</f>
        <v>150000</v>
      </c>
      <c r="G161" s="35">
        <f>SUM(G162:G162)</f>
        <v>0</v>
      </c>
      <c r="H161" s="118">
        <f>SUM(H162:H162)</f>
        <v>0</v>
      </c>
      <c r="I161" s="36">
        <f aca="true" t="shared" si="17" ref="I161:I166">SUM(J161:M161)</f>
        <v>0</v>
      </c>
      <c r="J161" s="365">
        <f>SUM(J162:J164)</f>
        <v>0</v>
      </c>
      <c r="K161" s="366">
        <f>SUM(K162:K164)</f>
        <v>0</v>
      </c>
      <c r="L161" s="367">
        <f>SUM(L162:L162)</f>
        <v>0</v>
      </c>
      <c r="M161" s="368">
        <f>SUM(M162:M162)</f>
        <v>0</v>
      </c>
      <c r="N161" s="327"/>
    </row>
    <row r="162" spans="1:14" ht="18" customHeight="1">
      <c r="A162" s="72" t="s">
        <v>278</v>
      </c>
      <c r="B162" s="39" t="s">
        <v>283</v>
      </c>
      <c r="C162" s="30" t="s">
        <v>0</v>
      </c>
      <c r="D162" s="62">
        <f t="shared" si="16"/>
        <v>50000</v>
      </c>
      <c r="E162" s="32">
        <v>0</v>
      </c>
      <c r="F162" s="32">
        <v>50000</v>
      </c>
      <c r="G162" s="32">
        <v>0</v>
      </c>
      <c r="H162" s="73"/>
      <c r="I162" s="65">
        <f t="shared" si="17"/>
        <v>0</v>
      </c>
      <c r="J162" s="66"/>
      <c r="K162" s="32"/>
      <c r="L162" s="31">
        <v>0</v>
      </c>
      <c r="M162" s="299"/>
      <c r="N162" s="327"/>
    </row>
    <row r="163" spans="1:14" ht="18" customHeight="1">
      <c r="A163" s="72" t="s">
        <v>280</v>
      </c>
      <c r="B163" s="140" t="s">
        <v>283</v>
      </c>
      <c r="C163" s="30" t="s">
        <v>2</v>
      </c>
      <c r="D163" s="62">
        <f t="shared" si="16"/>
        <v>100000</v>
      </c>
      <c r="E163" s="32"/>
      <c r="F163" s="32">
        <v>100000</v>
      </c>
      <c r="G163" s="32"/>
      <c r="H163" s="73"/>
      <c r="I163" s="65">
        <f t="shared" si="17"/>
        <v>0</v>
      </c>
      <c r="J163" s="66"/>
      <c r="K163" s="32"/>
      <c r="L163" s="31"/>
      <c r="M163" s="165"/>
      <c r="N163" s="327"/>
    </row>
    <row r="164" spans="1:13" ht="18" customHeight="1">
      <c r="A164" s="72" t="s">
        <v>282</v>
      </c>
      <c r="B164" s="140" t="s">
        <v>29</v>
      </c>
      <c r="C164" s="30" t="s">
        <v>124</v>
      </c>
      <c r="D164" s="62">
        <f t="shared" si="16"/>
        <v>1130000</v>
      </c>
      <c r="E164" s="32">
        <v>1130000</v>
      </c>
      <c r="F164" s="32">
        <v>0</v>
      </c>
      <c r="G164" s="32"/>
      <c r="H164" s="73"/>
      <c r="I164" s="65">
        <f t="shared" si="17"/>
        <v>0</v>
      </c>
      <c r="J164" s="66"/>
      <c r="K164" s="142"/>
      <c r="L164" s="292"/>
      <c r="M164" s="347"/>
    </row>
    <row r="165" spans="1:13" ht="31.5" customHeight="1">
      <c r="A165" s="37"/>
      <c r="B165" s="3" t="s">
        <v>345</v>
      </c>
      <c r="C165" s="6" t="s">
        <v>346</v>
      </c>
      <c r="D165" s="38">
        <f t="shared" si="16"/>
        <v>640000</v>
      </c>
      <c r="E165" s="19">
        <f>SUM(E166:E175)</f>
        <v>0</v>
      </c>
      <c r="F165" s="19">
        <f>SUM(F166:F175)</f>
        <v>640000</v>
      </c>
      <c r="G165" s="19">
        <f>SUM(G166:G175)</f>
        <v>0</v>
      </c>
      <c r="H165" s="89">
        <f>SUM(H166:H175)</f>
        <v>0</v>
      </c>
      <c r="I165" s="20">
        <f t="shared" si="17"/>
        <v>0</v>
      </c>
      <c r="J165" s="21">
        <f>SUM(J166:J175)</f>
        <v>0</v>
      </c>
      <c r="K165" s="21">
        <f>SUM(K166:K175)</f>
        <v>0</v>
      </c>
      <c r="L165" s="21">
        <f>SUM(L166:L175)</f>
        <v>0</v>
      </c>
      <c r="M165" s="317">
        <f>SUM(M166:M175)</f>
        <v>0</v>
      </c>
    </row>
    <row r="166" spans="1:13" ht="18" customHeight="1">
      <c r="A166" s="37" t="s">
        <v>278</v>
      </c>
      <c r="B166" s="22" t="s">
        <v>329</v>
      </c>
      <c r="C166" s="103" t="s">
        <v>557</v>
      </c>
      <c r="D166" s="25">
        <f t="shared" si="16"/>
        <v>24000</v>
      </c>
      <c r="E166" s="97">
        <v>0</v>
      </c>
      <c r="F166" s="97">
        <v>24000</v>
      </c>
      <c r="G166" s="97">
        <v>0</v>
      </c>
      <c r="H166" s="98">
        <v>0</v>
      </c>
      <c r="I166" s="27">
        <f t="shared" si="17"/>
        <v>0</v>
      </c>
      <c r="J166" s="99">
        <v>0</v>
      </c>
      <c r="K166" s="26"/>
      <c r="L166" s="24">
        <v>0</v>
      </c>
      <c r="M166" s="299">
        <v>0</v>
      </c>
    </row>
    <row r="167" spans="1:13" ht="18" customHeight="1">
      <c r="A167" s="37" t="s">
        <v>280</v>
      </c>
      <c r="B167" s="22" t="s">
        <v>283</v>
      </c>
      <c r="C167" s="103" t="s">
        <v>8</v>
      </c>
      <c r="D167" s="25">
        <f aca="true" t="shared" si="18" ref="D167:D198">SUM(E167:H167)</f>
        <v>32000</v>
      </c>
      <c r="E167" s="97">
        <v>0</v>
      </c>
      <c r="F167" s="97">
        <v>32000</v>
      </c>
      <c r="G167" s="97">
        <v>0</v>
      </c>
      <c r="H167" s="98">
        <v>0</v>
      </c>
      <c r="I167" s="27">
        <f aca="true" t="shared" si="19" ref="I167:I175">SUM(J167:M167)</f>
        <v>0</v>
      </c>
      <c r="J167" s="99">
        <v>0</v>
      </c>
      <c r="K167" s="26"/>
      <c r="L167" s="24">
        <v>0</v>
      </c>
      <c r="M167" s="299">
        <v>0</v>
      </c>
    </row>
    <row r="168" spans="1:13" ht="18" customHeight="1">
      <c r="A168" s="37" t="s">
        <v>282</v>
      </c>
      <c r="B168" s="22" t="s">
        <v>329</v>
      </c>
      <c r="C168" s="103" t="s">
        <v>565</v>
      </c>
      <c r="D168" s="25">
        <f t="shared" si="18"/>
        <v>25500</v>
      </c>
      <c r="E168" s="97">
        <v>0</v>
      </c>
      <c r="F168" s="97">
        <v>25500</v>
      </c>
      <c r="G168" s="97">
        <v>0</v>
      </c>
      <c r="H168" s="98">
        <v>0</v>
      </c>
      <c r="I168" s="27">
        <f t="shared" si="19"/>
        <v>0</v>
      </c>
      <c r="J168" s="99">
        <v>0</v>
      </c>
      <c r="K168" s="26"/>
      <c r="L168" s="24">
        <v>0</v>
      </c>
      <c r="M168" s="299">
        <v>0</v>
      </c>
    </row>
    <row r="169" spans="1:13" ht="18" customHeight="1">
      <c r="A169" s="37" t="s">
        <v>284</v>
      </c>
      <c r="B169" s="22" t="s">
        <v>329</v>
      </c>
      <c r="C169" s="103" t="s">
        <v>566</v>
      </c>
      <c r="D169" s="25">
        <f t="shared" si="18"/>
        <v>42000</v>
      </c>
      <c r="E169" s="97">
        <v>0</v>
      </c>
      <c r="F169" s="97">
        <v>42000</v>
      </c>
      <c r="G169" s="97">
        <v>0</v>
      </c>
      <c r="H169" s="98">
        <v>0</v>
      </c>
      <c r="I169" s="27">
        <f t="shared" si="19"/>
        <v>0</v>
      </c>
      <c r="J169" s="99">
        <v>0</v>
      </c>
      <c r="K169" s="26"/>
      <c r="L169" s="24">
        <v>0</v>
      </c>
      <c r="M169" s="299">
        <v>0</v>
      </c>
    </row>
    <row r="170" spans="1:13" ht="18" customHeight="1">
      <c r="A170" s="37" t="s">
        <v>286</v>
      </c>
      <c r="B170" s="22" t="s">
        <v>329</v>
      </c>
      <c r="C170" s="103" t="s">
        <v>567</v>
      </c>
      <c r="D170" s="25">
        <f t="shared" si="18"/>
        <v>49000</v>
      </c>
      <c r="E170" s="97">
        <v>0</v>
      </c>
      <c r="F170" s="97">
        <v>49000</v>
      </c>
      <c r="G170" s="97">
        <v>0</v>
      </c>
      <c r="H170" s="98">
        <v>0</v>
      </c>
      <c r="I170" s="27">
        <f t="shared" si="19"/>
        <v>0</v>
      </c>
      <c r="J170" s="99">
        <v>0</v>
      </c>
      <c r="K170" s="26"/>
      <c r="L170" s="24">
        <v>0</v>
      </c>
      <c r="M170" s="299">
        <v>0</v>
      </c>
    </row>
    <row r="171" spans="1:13" ht="18" customHeight="1">
      <c r="A171" s="37" t="s">
        <v>287</v>
      </c>
      <c r="B171" s="95" t="s">
        <v>283</v>
      </c>
      <c r="C171" s="30" t="s">
        <v>52</v>
      </c>
      <c r="D171" s="25">
        <f t="shared" si="18"/>
        <v>250000</v>
      </c>
      <c r="E171" s="100"/>
      <c r="F171" s="100">
        <v>250000</v>
      </c>
      <c r="G171" s="100"/>
      <c r="H171" s="101"/>
      <c r="I171" s="27">
        <f t="shared" si="19"/>
        <v>0</v>
      </c>
      <c r="J171" s="102"/>
      <c r="K171" s="142"/>
      <c r="L171" s="292"/>
      <c r="M171" s="299"/>
    </row>
    <row r="172" spans="1:13" ht="22.5" customHeight="1">
      <c r="A172" s="37" t="s">
        <v>288</v>
      </c>
      <c r="B172" s="95" t="s">
        <v>283</v>
      </c>
      <c r="C172" s="30" t="s">
        <v>69</v>
      </c>
      <c r="D172" s="25">
        <f t="shared" si="18"/>
        <v>120000</v>
      </c>
      <c r="E172" s="100"/>
      <c r="F172" s="100">
        <v>120000</v>
      </c>
      <c r="G172" s="100"/>
      <c r="H172" s="101"/>
      <c r="I172" s="27">
        <f t="shared" si="19"/>
        <v>0</v>
      </c>
      <c r="J172" s="102"/>
      <c r="K172" s="142"/>
      <c r="L172" s="292"/>
      <c r="M172" s="299"/>
    </row>
    <row r="173" spans="1:13" ht="18" customHeight="1">
      <c r="A173" s="37" t="s">
        <v>290</v>
      </c>
      <c r="B173" s="95" t="s">
        <v>283</v>
      </c>
      <c r="C173" s="331" t="s">
        <v>568</v>
      </c>
      <c r="D173" s="25">
        <f t="shared" si="18"/>
        <v>65000</v>
      </c>
      <c r="E173" s="100"/>
      <c r="F173" s="100">
        <v>65000</v>
      </c>
      <c r="G173" s="100"/>
      <c r="H173" s="101"/>
      <c r="I173" s="27">
        <f t="shared" si="19"/>
        <v>0</v>
      </c>
      <c r="J173" s="102"/>
      <c r="K173" s="142"/>
      <c r="L173" s="292"/>
      <c r="M173" s="299"/>
    </row>
    <row r="174" spans="1:13" ht="18" customHeight="1">
      <c r="A174" s="37" t="s">
        <v>291</v>
      </c>
      <c r="B174" s="22" t="s">
        <v>283</v>
      </c>
      <c r="C174" s="103" t="s">
        <v>13</v>
      </c>
      <c r="D174" s="25">
        <f t="shared" si="18"/>
        <v>26500</v>
      </c>
      <c r="E174" s="97">
        <v>0</v>
      </c>
      <c r="F174" s="97">
        <v>26500</v>
      </c>
      <c r="G174" s="97">
        <v>0</v>
      </c>
      <c r="H174" s="98">
        <v>0</v>
      </c>
      <c r="I174" s="27">
        <f t="shared" si="19"/>
        <v>0</v>
      </c>
      <c r="J174" s="99">
        <v>0</v>
      </c>
      <c r="K174" s="26"/>
      <c r="L174" s="24">
        <v>0</v>
      </c>
      <c r="M174" s="299">
        <v>0</v>
      </c>
    </row>
    <row r="175" spans="1:13" ht="18" customHeight="1">
      <c r="A175" s="37" t="s">
        <v>293</v>
      </c>
      <c r="B175" s="22" t="s">
        <v>283</v>
      </c>
      <c r="C175" s="103" t="s">
        <v>9</v>
      </c>
      <c r="D175" s="25">
        <f t="shared" si="18"/>
        <v>6000</v>
      </c>
      <c r="E175" s="97">
        <v>0</v>
      </c>
      <c r="F175" s="97">
        <v>6000</v>
      </c>
      <c r="G175" s="97">
        <v>0</v>
      </c>
      <c r="H175" s="98">
        <v>0</v>
      </c>
      <c r="I175" s="27">
        <f t="shared" si="19"/>
        <v>0</v>
      </c>
      <c r="J175" s="99">
        <v>0</v>
      </c>
      <c r="K175" s="26"/>
      <c r="L175" s="24">
        <v>0</v>
      </c>
      <c r="M175" s="299">
        <v>0</v>
      </c>
    </row>
    <row r="176" spans="1:13" ht="28.5" customHeight="1">
      <c r="A176" s="37"/>
      <c r="B176" s="3" t="s">
        <v>327</v>
      </c>
      <c r="C176" s="6" t="s">
        <v>96</v>
      </c>
      <c r="D176" s="38">
        <f>SUM(E176:H176)</f>
        <v>770000</v>
      </c>
      <c r="E176" s="19">
        <f>SUM(E177:E178)</f>
        <v>132524</v>
      </c>
      <c r="F176" s="19">
        <f>SUM(F177:F178)</f>
        <v>637476</v>
      </c>
      <c r="G176" s="19">
        <f>SUM(G177:G178)</f>
        <v>0</v>
      </c>
      <c r="H176" s="19">
        <f>SUM(H177:H178)</f>
        <v>0</v>
      </c>
      <c r="I176" s="20">
        <f>SUM(J176:M176)</f>
        <v>0</v>
      </c>
      <c r="J176" s="21">
        <f>SUM(J177:J178)</f>
        <v>0</v>
      </c>
      <c r="K176" s="21">
        <f>SUM(K177:K178)</f>
        <v>0</v>
      </c>
      <c r="L176" s="21">
        <f>SUM(L177:L178)</f>
        <v>0</v>
      </c>
      <c r="M176" s="317">
        <f>SUM(M177:M178)</f>
        <v>0</v>
      </c>
    </row>
    <row r="177" spans="1:13" ht="16.5" customHeight="1">
      <c r="A177" s="37" t="s">
        <v>278</v>
      </c>
      <c r="B177" s="22" t="s">
        <v>283</v>
      </c>
      <c r="C177" s="103" t="s">
        <v>46</v>
      </c>
      <c r="D177" s="25">
        <f>SUM(E177:H177)</f>
        <v>700000</v>
      </c>
      <c r="E177" s="97">
        <v>132524</v>
      </c>
      <c r="F177" s="97">
        <v>567476</v>
      </c>
      <c r="G177" s="97">
        <v>0</v>
      </c>
      <c r="H177" s="98">
        <v>0</v>
      </c>
      <c r="I177" s="27">
        <f>SUM(J177:M177)</f>
        <v>0</v>
      </c>
      <c r="J177" s="99"/>
      <c r="K177" s="26"/>
      <c r="L177" s="24">
        <v>0</v>
      </c>
      <c r="M177" s="299">
        <v>0</v>
      </c>
    </row>
    <row r="178" spans="1:13" ht="19.5" customHeight="1">
      <c r="A178" s="37" t="s">
        <v>280</v>
      </c>
      <c r="B178" s="22" t="s">
        <v>283</v>
      </c>
      <c r="C178" s="103" t="s">
        <v>555</v>
      </c>
      <c r="D178" s="25">
        <f>SUM(E178:H178)</f>
        <v>70000</v>
      </c>
      <c r="E178" s="97">
        <v>0</v>
      </c>
      <c r="F178" s="97">
        <v>70000</v>
      </c>
      <c r="G178" s="97">
        <v>0</v>
      </c>
      <c r="H178" s="98">
        <v>0</v>
      </c>
      <c r="I178" s="27">
        <f>SUM(J178:M178)</f>
        <v>0</v>
      </c>
      <c r="J178" s="99"/>
      <c r="K178" s="26"/>
      <c r="L178" s="24">
        <v>0</v>
      </c>
      <c r="M178" s="299">
        <v>0</v>
      </c>
    </row>
    <row r="179" spans="1:13" ht="30" customHeight="1" thickBot="1">
      <c r="A179" s="104" t="s">
        <v>361</v>
      </c>
      <c r="B179" s="105" t="s">
        <v>362</v>
      </c>
      <c r="C179" s="106" t="s">
        <v>363</v>
      </c>
      <c r="D179" s="108">
        <f>SUM(E179:H179)</f>
        <v>20018761</v>
      </c>
      <c r="E179" s="109">
        <f>SUM(E180:E196)</f>
        <v>2148924</v>
      </c>
      <c r="F179" s="109">
        <f>SUM(F180:F196)</f>
        <v>9135378</v>
      </c>
      <c r="G179" s="109">
        <f>SUM(G180:G196)</f>
        <v>0</v>
      </c>
      <c r="H179" s="109">
        <f>SUM(H180:H196)</f>
        <v>8734459</v>
      </c>
      <c r="I179" s="110">
        <f>SUM(J179:M179)</f>
        <v>0</v>
      </c>
      <c r="J179" s="342">
        <f>SUM(J180:J196)</f>
        <v>0</v>
      </c>
      <c r="K179" s="109">
        <f>SUM(K180:K196)</f>
        <v>0</v>
      </c>
      <c r="L179" s="109">
        <f>SUM(L180:L196)</f>
        <v>0</v>
      </c>
      <c r="M179" s="109">
        <f>SUM(M180:M196)</f>
        <v>0</v>
      </c>
    </row>
    <row r="180" spans="1:13" ht="18.75" customHeight="1" thickBot="1">
      <c r="A180" s="382"/>
      <c r="B180" s="373" t="str">
        <f>RIGHT(B197,5)</f>
        <v>01095</v>
      </c>
      <c r="C180" s="384" t="s">
        <v>209</v>
      </c>
      <c r="D180" s="385">
        <f t="shared" si="18"/>
        <v>7000</v>
      </c>
      <c r="E180" s="44">
        <f>E197</f>
        <v>0</v>
      </c>
      <c r="F180" s="44">
        <f>F197</f>
        <v>0</v>
      </c>
      <c r="G180" s="44">
        <f>G197</f>
        <v>0</v>
      </c>
      <c r="H180" s="44">
        <f>H197</f>
        <v>7000</v>
      </c>
      <c r="I180" s="386">
        <f aca="true" t="shared" si="20" ref="I180:I198">SUM(J180:M180)</f>
        <v>0</v>
      </c>
      <c r="J180" s="383">
        <f>J197</f>
        <v>0</v>
      </c>
      <c r="K180" s="371">
        <f>K197</f>
        <v>0</v>
      </c>
      <c r="L180" s="371">
        <f>L197</f>
        <v>0</v>
      </c>
      <c r="M180" s="371">
        <f>M197</f>
        <v>0</v>
      </c>
    </row>
    <row r="181" spans="1:19" ht="19.5" customHeight="1">
      <c r="A181" s="319"/>
      <c r="B181" s="95" t="str">
        <f>RIGHT(B199,5)</f>
        <v>60015</v>
      </c>
      <c r="C181" s="30" t="s">
        <v>364</v>
      </c>
      <c r="D181" s="62">
        <f t="shared" si="18"/>
        <v>16941236</v>
      </c>
      <c r="E181" s="32">
        <f>E199</f>
        <v>1725000</v>
      </c>
      <c r="F181" s="32">
        <f>F199</f>
        <v>6723278</v>
      </c>
      <c r="G181" s="32">
        <f>G199</f>
        <v>0</v>
      </c>
      <c r="H181" s="32">
        <f>H199</f>
        <v>8492958</v>
      </c>
      <c r="I181" s="65">
        <f t="shared" si="20"/>
        <v>0</v>
      </c>
      <c r="J181" s="32">
        <f>J199</f>
        <v>0</v>
      </c>
      <c r="K181" s="32">
        <f>K199</f>
        <v>0</v>
      </c>
      <c r="L181" s="32">
        <f>L199</f>
        <v>0</v>
      </c>
      <c r="M181" s="32">
        <f>M199</f>
        <v>0</v>
      </c>
      <c r="O181" s="139"/>
      <c r="P181" s="139"/>
      <c r="Q181" s="119"/>
      <c r="R181" s="119"/>
      <c r="S181" s="119"/>
    </row>
    <row r="182" spans="1:19" ht="19.5" customHeight="1">
      <c r="A182" s="319"/>
      <c r="B182" s="95">
        <v>71015</v>
      </c>
      <c r="C182" s="30" t="s">
        <v>494</v>
      </c>
      <c r="D182" s="62">
        <f t="shared" si="18"/>
        <v>3500</v>
      </c>
      <c r="E182" s="73">
        <f>E215</f>
        <v>0</v>
      </c>
      <c r="F182" s="73">
        <f>F215</f>
        <v>0</v>
      </c>
      <c r="G182" s="73">
        <f>G215</f>
        <v>0</v>
      </c>
      <c r="H182" s="73">
        <f>H215</f>
        <v>3500</v>
      </c>
      <c r="I182" s="65">
        <f t="shared" si="20"/>
        <v>0</v>
      </c>
      <c r="J182" s="335">
        <f>J215</f>
        <v>0</v>
      </c>
      <c r="K182" s="298">
        <f>K215</f>
        <v>0</v>
      </c>
      <c r="L182" s="167">
        <f>L215</f>
        <v>0</v>
      </c>
      <c r="M182" s="165">
        <f>M215</f>
        <v>0</v>
      </c>
      <c r="O182" s="139"/>
      <c r="P182" s="139"/>
      <c r="Q182" s="119"/>
      <c r="R182" s="119"/>
      <c r="S182" s="119"/>
    </row>
    <row r="183" spans="1:13" ht="19.5" customHeight="1">
      <c r="A183" s="320"/>
      <c r="B183" s="22" t="str">
        <f>RIGHT(B217,5)</f>
        <v>75411</v>
      </c>
      <c r="C183" s="23" t="s">
        <v>458</v>
      </c>
      <c r="D183" s="25">
        <f t="shared" si="18"/>
        <v>146000</v>
      </c>
      <c r="E183" s="28">
        <f>E217</f>
        <v>32000</v>
      </c>
      <c r="F183" s="28">
        <f>F217</f>
        <v>0</v>
      </c>
      <c r="G183" s="28">
        <f>G217</f>
        <v>0</v>
      </c>
      <c r="H183" s="28">
        <f>H217</f>
        <v>114000</v>
      </c>
      <c r="I183" s="65">
        <f t="shared" si="20"/>
        <v>0</v>
      </c>
      <c r="J183" s="340">
        <f>J217</f>
        <v>0</v>
      </c>
      <c r="K183" s="28">
        <f>K217</f>
        <v>0</v>
      </c>
      <c r="L183" s="28">
        <f>L217</f>
        <v>0</v>
      </c>
      <c r="M183" s="26">
        <f>M217</f>
        <v>0</v>
      </c>
    </row>
    <row r="184" spans="1:13" ht="19.5" customHeight="1">
      <c r="A184" s="320"/>
      <c r="B184" s="22">
        <v>80120</v>
      </c>
      <c r="C184" s="23" t="s">
        <v>138</v>
      </c>
      <c r="D184" s="25">
        <f t="shared" si="18"/>
        <v>9000</v>
      </c>
      <c r="E184" s="28">
        <f>E220</f>
        <v>0</v>
      </c>
      <c r="F184" s="28">
        <f>F220</f>
        <v>9000</v>
      </c>
      <c r="G184" s="28">
        <f>G220</f>
        <v>0</v>
      </c>
      <c r="H184" s="28">
        <f>H220</f>
        <v>0</v>
      </c>
      <c r="I184" s="65">
        <f t="shared" si="20"/>
        <v>0</v>
      </c>
      <c r="J184" s="28">
        <f>J220</f>
        <v>0</v>
      </c>
      <c r="K184" s="28">
        <f>K220</f>
        <v>0</v>
      </c>
      <c r="L184" s="28">
        <f>L220</f>
        <v>0</v>
      </c>
      <c r="M184" s="28">
        <f>M220</f>
        <v>0</v>
      </c>
    </row>
    <row r="185" spans="1:13" ht="19.5" customHeight="1">
      <c r="A185" s="320"/>
      <c r="B185" s="22" t="str">
        <f>RIGHT(B222,5)</f>
        <v>80130</v>
      </c>
      <c r="C185" s="23" t="s">
        <v>365</v>
      </c>
      <c r="D185" s="25">
        <f t="shared" si="18"/>
        <v>620000</v>
      </c>
      <c r="E185" s="28">
        <f>E222</f>
        <v>0</v>
      </c>
      <c r="F185" s="28">
        <f>F222</f>
        <v>620000</v>
      </c>
      <c r="G185" s="28">
        <f>G222</f>
        <v>0</v>
      </c>
      <c r="H185" s="28">
        <f>H222</f>
        <v>0</v>
      </c>
      <c r="I185" s="65">
        <f t="shared" si="20"/>
        <v>0</v>
      </c>
      <c r="J185" s="340">
        <f>J222</f>
        <v>0</v>
      </c>
      <c r="K185" s="28">
        <f>K222</f>
        <v>0</v>
      </c>
      <c r="L185" s="28">
        <f>L222</f>
        <v>0</v>
      </c>
      <c r="M185" s="28">
        <f>M222</f>
        <v>0</v>
      </c>
    </row>
    <row r="186" spans="1:13" ht="19.5" customHeight="1">
      <c r="A186" s="320"/>
      <c r="B186" s="22">
        <v>85111</v>
      </c>
      <c r="C186" s="23" t="s">
        <v>365</v>
      </c>
      <c r="D186" s="25">
        <f t="shared" si="18"/>
        <v>320000</v>
      </c>
      <c r="E186" s="28">
        <f>E227</f>
        <v>320000</v>
      </c>
      <c r="F186" s="28">
        <f>F227</f>
        <v>0</v>
      </c>
      <c r="G186" s="28">
        <f>G227</f>
        <v>0</v>
      </c>
      <c r="H186" s="28">
        <f>H227</f>
        <v>0</v>
      </c>
      <c r="I186" s="65">
        <f t="shared" si="20"/>
        <v>0</v>
      </c>
      <c r="J186" s="28">
        <f>J227</f>
        <v>0</v>
      </c>
      <c r="K186" s="28">
        <f>K227</f>
        <v>0</v>
      </c>
      <c r="L186" s="28">
        <f>L227</f>
        <v>0</v>
      </c>
      <c r="M186" s="28">
        <f>M227</f>
        <v>0</v>
      </c>
    </row>
    <row r="187" spans="1:13" ht="19.5" customHeight="1">
      <c r="A187" s="320"/>
      <c r="B187" s="22" t="str">
        <f>RIGHT(B229,5)</f>
        <v>85201</v>
      </c>
      <c r="C187" s="23" t="s">
        <v>4</v>
      </c>
      <c r="D187" s="25">
        <f t="shared" si="18"/>
        <v>27884</v>
      </c>
      <c r="E187" s="28">
        <f>E229</f>
        <v>2784</v>
      </c>
      <c r="F187" s="28">
        <f>F229</f>
        <v>25100</v>
      </c>
      <c r="G187" s="28">
        <f>G229</f>
        <v>0</v>
      </c>
      <c r="H187" s="28">
        <f>H229</f>
        <v>0</v>
      </c>
      <c r="I187" s="65">
        <f t="shared" si="20"/>
        <v>0</v>
      </c>
      <c r="J187" s="340">
        <f>J229</f>
        <v>0</v>
      </c>
      <c r="K187" s="28">
        <f>K229</f>
        <v>0</v>
      </c>
      <c r="L187" s="28">
        <f>L229</f>
        <v>0</v>
      </c>
      <c r="M187" s="28">
        <f>M229</f>
        <v>0</v>
      </c>
    </row>
    <row r="188" spans="1:19" ht="19.5" customHeight="1">
      <c r="A188" s="320"/>
      <c r="B188" s="22" t="str">
        <f>RIGHT(B232,5)</f>
        <v>85202</v>
      </c>
      <c r="C188" s="23" t="s">
        <v>267</v>
      </c>
      <c r="D188" s="25">
        <f t="shared" si="18"/>
        <v>0</v>
      </c>
      <c r="E188" s="28">
        <f>E232</f>
        <v>0</v>
      </c>
      <c r="F188" s="28">
        <f>F232</f>
        <v>0</v>
      </c>
      <c r="G188" s="28">
        <f>G232</f>
        <v>0</v>
      </c>
      <c r="H188" s="28">
        <f>H232</f>
        <v>0</v>
      </c>
      <c r="I188" s="65">
        <f t="shared" si="20"/>
        <v>0</v>
      </c>
      <c r="J188" s="340">
        <f>J232</f>
        <v>0</v>
      </c>
      <c r="K188" s="28">
        <f>K232</f>
        <v>0</v>
      </c>
      <c r="L188" s="26">
        <f>L232</f>
        <v>0</v>
      </c>
      <c r="M188" s="299">
        <f>M232</f>
        <v>0</v>
      </c>
      <c r="O188" s="139"/>
      <c r="P188" s="139"/>
      <c r="Q188" s="119"/>
      <c r="R188" s="119"/>
      <c r="S188" s="119"/>
    </row>
    <row r="189" spans="1:19" ht="19.5" customHeight="1">
      <c r="A189" s="319"/>
      <c r="B189" s="22">
        <v>85321</v>
      </c>
      <c r="C189" s="30" t="s">
        <v>570</v>
      </c>
      <c r="D189" s="25">
        <f t="shared" si="18"/>
        <v>10000</v>
      </c>
      <c r="E189" s="73">
        <f>E234</f>
        <v>0</v>
      </c>
      <c r="F189" s="73">
        <f>F234</f>
        <v>10000</v>
      </c>
      <c r="G189" s="73">
        <f>G234</f>
        <v>0</v>
      </c>
      <c r="H189" s="73">
        <f>H234</f>
        <v>0</v>
      </c>
      <c r="I189" s="65">
        <f t="shared" si="20"/>
        <v>0</v>
      </c>
      <c r="J189" s="73">
        <f>J234</f>
        <v>0</v>
      </c>
      <c r="K189" s="73">
        <f>K234</f>
        <v>0</v>
      </c>
      <c r="L189" s="73">
        <f>L234</f>
        <v>0</v>
      </c>
      <c r="M189" s="26">
        <f>M234</f>
        <v>0</v>
      </c>
      <c r="O189" s="185"/>
      <c r="P189" s="185"/>
      <c r="Q189" s="132"/>
      <c r="R189" s="132"/>
      <c r="S189" s="132"/>
    </row>
    <row r="190" spans="1:13" ht="19.5" customHeight="1">
      <c r="A190" s="319"/>
      <c r="B190" s="95">
        <v>85410</v>
      </c>
      <c r="C190" s="30" t="s">
        <v>115</v>
      </c>
      <c r="D190" s="25">
        <f t="shared" si="18"/>
        <v>89000</v>
      </c>
      <c r="E190" s="73">
        <f>E236</f>
        <v>9000</v>
      </c>
      <c r="F190" s="73">
        <f>F236</f>
        <v>80000</v>
      </c>
      <c r="G190" s="73">
        <f>G236</f>
        <v>0</v>
      </c>
      <c r="H190" s="73">
        <f>H236</f>
        <v>0</v>
      </c>
      <c r="I190" s="65">
        <f t="shared" si="20"/>
        <v>0</v>
      </c>
      <c r="J190" s="73">
        <f>J236</f>
        <v>0</v>
      </c>
      <c r="K190" s="73">
        <f>K236</f>
        <v>0</v>
      </c>
      <c r="L190" s="73">
        <f>L236</f>
        <v>0</v>
      </c>
      <c r="M190" s="32">
        <f>M236</f>
        <v>0</v>
      </c>
    </row>
    <row r="191" spans="1:13" ht="19.5" customHeight="1">
      <c r="A191" s="319"/>
      <c r="B191" s="95">
        <v>85415</v>
      </c>
      <c r="C191" s="30" t="s">
        <v>116</v>
      </c>
      <c r="D191" s="25">
        <f t="shared" si="18"/>
        <v>9801</v>
      </c>
      <c r="E191" s="73">
        <f>E239</f>
        <v>0</v>
      </c>
      <c r="F191" s="73">
        <f>F239</f>
        <v>0</v>
      </c>
      <c r="G191" s="73">
        <f>G239</f>
        <v>0</v>
      </c>
      <c r="H191" s="73">
        <f>H239</f>
        <v>9801</v>
      </c>
      <c r="I191" s="65">
        <f t="shared" si="20"/>
        <v>0</v>
      </c>
      <c r="J191" s="73">
        <f>J239</f>
        <v>0</v>
      </c>
      <c r="K191" s="73">
        <f>K239</f>
        <v>0</v>
      </c>
      <c r="L191" s="73">
        <f>L239</f>
        <v>0</v>
      </c>
      <c r="M191" s="32">
        <f>M239</f>
        <v>0</v>
      </c>
    </row>
    <row r="192" spans="1:13" ht="19.5" customHeight="1">
      <c r="A192" s="319"/>
      <c r="B192" s="95" t="str">
        <f>RIGHT(B243,5)</f>
        <v>90095</v>
      </c>
      <c r="C192" s="30" t="s">
        <v>55</v>
      </c>
      <c r="D192" s="25">
        <f t="shared" si="18"/>
        <v>1243000</v>
      </c>
      <c r="E192" s="73">
        <f>E243</f>
        <v>0</v>
      </c>
      <c r="F192" s="73">
        <f>F243</f>
        <v>1243000</v>
      </c>
      <c r="G192" s="73">
        <f>G243</f>
        <v>0</v>
      </c>
      <c r="H192" s="73">
        <f>H243</f>
        <v>0</v>
      </c>
      <c r="I192" s="65">
        <f t="shared" si="20"/>
        <v>0</v>
      </c>
      <c r="J192" s="73">
        <f>J243</f>
        <v>0</v>
      </c>
      <c r="K192" s="73">
        <f>K243</f>
        <v>0</v>
      </c>
      <c r="L192" s="73">
        <f>L243</f>
        <v>0</v>
      </c>
      <c r="M192" s="32">
        <f>M243</f>
        <v>0</v>
      </c>
    </row>
    <row r="193" spans="1:13" ht="19.5" customHeight="1">
      <c r="A193" s="319"/>
      <c r="B193" s="95">
        <v>92110</v>
      </c>
      <c r="C193" s="30" t="s">
        <v>204</v>
      </c>
      <c r="D193" s="25">
        <f t="shared" si="18"/>
        <v>4000</v>
      </c>
      <c r="E193" s="73">
        <f>E245</f>
        <v>0</v>
      </c>
      <c r="F193" s="73">
        <f>F245</f>
        <v>0</v>
      </c>
      <c r="G193" s="73">
        <f>G245</f>
        <v>0</v>
      </c>
      <c r="H193" s="73">
        <f>H245</f>
        <v>4000</v>
      </c>
      <c r="I193" s="65">
        <f t="shared" si="20"/>
        <v>0</v>
      </c>
      <c r="J193" s="73">
        <f>J245</f>
        <v>0</v>
      </c>
      <c r="K193" s="73">
        <f>K245</f>
        <v>0</v>
      </c>
      <c r="L193" s="73">
        <f>L245</f>
        <v>0</v>
      </c>
      <c r="M193" s="32">
        <f>M245</f>
        <v>0</v>
      </c>
    </row>
    <row r="194" spans="1:13" ht="19.5" customHeight="1">
      <c r="A194" s="319"/>
      <c r="B194" s="95" t="str">
        <f>RIGHT(B253,5)</f>
        <v>92195</v>
      </c>
      <c r="C194" s="30" t="s">
        <v>482</v>
      </c>
      <c r="D194" s="25">
        <f t="shared" si="18"/>
        <v>300000</v>
      </c>
      <c r="E194" s="73">
        <f>E253</f>
        <v>0</v>
      </c>
      <c r="F194" s="73">
        <f>F253</f>
        <v>300000</v>
      </c>
      <c r="G194" s="73">
        <f>G253</f>
        <v>0</v>
      </c>
      <c r="H194" s="73">
        <f>H253</f>
        <v>0</v>
      </c>
      <c r="I194" s="65">
        <f t="shared" si="20"/>
        <v>0</v>
      </c>
      <c r="J194" s="73">
        <f>J253</f>
        <v>0</v>
      </c>
      <c r="K194" s="73">
        <f>K253</f>
        <v>0</v>
      </c>
      <c r="L194" s="73">
        <f>L253</f>
        <v>0</v>
      </c>
      <c r="M194" s="32">
        <f>M253</f>
        <v>0</v>
      </c>
    </row>
    <row r="195" spans="1:19" ht="19.5" customHeight="1">
      <c r="A195" s="319"/>
      <c r="B195" s="95">
        <v>92116</v>
      </c>
      <c r="C195" s="30" t="s">
        <v>411</v>
      </c>
      <c r="D195" s="25">
        <f t="shared" si="18"/>
        <v>263340</v>
      </c>
      <c r="E195" s="73">
        <f>E247</f>
        <v>60140</v>
      </c>
      <c r="F195" s="73">
        <f>F247</f>
        <v>100000</v>
      </c>
      <c r="G195" s="73">
        <f>G247</f>
        <v>0</v>
      </c>
      <c r="H195" s="73">
        <f>H247</f>
        <v>103200</v>
      </c>
      <c r="I195" s="65">
        <f t="shared" si="20"/>
        <v>0</v>
      </c>
      <c r="J195" s="73">
        <f>J247</f>
        <v>0</v>
      </c>
      <c r="K195" s="73">
        <f>K247</f>
        <v>0</v>
      </c>
      <c r="L195" s="73">
        <f>L247</f>
        <v>0</v>
      </c>
      <c r="M195" s="32">
        <f>M247</f>
        <v>0</v>
      </c>
      <c r="O195" s="139"/>
      <c r="P195" s="139"/>
      <c r="Q195" s="119"/>
      <c r="R195" s="119"/>
      <c r="S195" s="119"/>
    </row>
    <row r="196" spans="1:19" ht="19.5" customHeight="1">
      <c r="A196" s="319"/>
      <c r="B196" s="95">
        <v>92118</v>
      </c>
      <c r="C196" s="30" t="s">
        <v>410</v>
      </c>
      <c r="D196" s="25">
        <f t="shared" si="18"/>
        <v>25000</v>
      </c>
      <c r="E196" s="73">
        <f>E251</f>
        <v>0</v>
      </c>
      <c r="F196" s="73">
        <f>F251</f>
        <v>25000</v>
      </c>
      <c r="G196" s="73">
        <f>G251</f>
        <v>0</v>
      </c>
      <c r="H196" s="73">
        <f>H251</f>
        <v>0</v>
      </c>
      <c r="I196" s="65">
        <f t="shared" si="20"/>
        <v>0</v>
      </c>
      <c r="J196" s="73">
        <f>J251</f>
        <v>0</v>
      </c>
      <c r="K196" s="73">
        <f>K251</f>
        <v>0</v>
      </c>
      <c r="L196" s="73">
        <f>L251</f>
        <v>0</v>
      </c>
      <c r="M196" s="32">
        <f>M251</f>
        <v>0</v>
      </c>
      <c r="O196" s="139"/>
      <c r="P196" s="139"/>
      <c r="Q196" s="119"/>
      <c r="R196" s="119"/>
      <c r="S196" s="119"/>
    </row>
    <row r="197" spans="1:19" ht="26.25" customHeight="1">
      <c r="A197" s="37"/>
      <c r="B197" s="3" t="s">
        <v>206</v>
      </c>
      <c r="C197" s="6" t="s">
        <v>207</v>
      </c>
      <c r="D197" s="38">
        <f t="shared" si="18"/>
        <v>7000</v>
      </c>
      <c r="E197" s="19">
        <f>SUM(E198:E198)</f>
        <v>0</v>
      </c>
      <c r="F197" s="19">
        <f>SUM(F198:F198)</f>
        <v>0</v>
      </c>
      <c r="G197" s="19">
        <f>SUM(G198:G198)</f>
        <v>0</v>
      </c>
      <c r="H197" s="89">
        <f>SUM(H198)</f>
        <v>7000</v>
      </c>
      <c r="I197" s="20">
        <f t="shared" si="20"/>
        <v>0</v>
      </c>
      <c r="J197" s="77">
        <f>SUM(J198:J198)</f>
        <v>0</v>
      </c>
      <c r="K197" s="77">
        <f>SUM(K198:K198)</f>
        <v>0</v>
      </c>
      <c r="L197" s="77">
        <f>SUM(L198:L198)</f>
        <v>0</v>
      </c>
      <c r="M197" s="77">
        <f>SUM(M198)</f>
        <v>0</v>
      </c>
      <c r="O197" s="139"/>
      <c r="P197" s="139"/>
      <c r="Q197" s="119"/>
      <c r="R197" s="119"/>
      <c r="S197" s="119"/>
    </row>
    <row r="198" spans="1:19" ht="27" customHeight="1">
      <c r="A198" s="37" t="s">
        <v>278</v>
      </c>
      <c r="B198" s="22" t="s">
        <v>329</v>
      </c>
      <c r="C198" s="23" t="s">
        <v>208</v>
      </c>
      <c r="D198" s="25">
        <f t="shared" si="18"/>
        <v>7000</v>
      </c>
      <c r="E198" s="97"/>
      <c r="F198" s="97">
        <v>0</v>
      </c>
      <c r="G198" s="97"/>
      <c r="H198" s="98">
        <v>7000</v>
      </c>
      <c r="I198" s="27">
        <f t="shared" si="20"/>
        <v>0</v>
      </c>
      <c r="J198" s="99"/>
      <c r="K198" s="26">
        <v>0</v>
      </c>
      <c r="L198" s="24"/>
      <c r="M198" s="299"/>
      <c r="O198" s="139"/>
      <c r="P198" s="139"/>
      <c r="Q198" s="119"/>
      <c r="R198" s="119"/>
      <c r="S198" s="119"/>
    </row>
    <row r="199" spans="1:13" ht="29.25" customHeight="1">
      <c r="A199" s="6"/>
      <c r="B199" s="3" t="s">
        <v>368</v>
      </c>
      <c r="C199" s="6" t="s">
        <v>369</v>
      </c>
      <c r="D199" s="38">
        <f>SUM(E199:H199)</f>
        <v>16941236</v>
      </c>
      <c r="E199" s="11">
        <f>E203+E204+E205+E206+E207+E208+E209+E210+E211+E212+E213+E214</f>
        <v>1725000</v>
      </c>
      <c r="F199" s="11">
        <f>F203+F204+F205+F206+F207+F208+F209+F210+F211+F212+F213+F214</f>
        <v>6723278</v>
      </c>
      <c r="G199" s="11">
        <f>G203+G204+G205+G206+G207+G208+G209+G210+G211+G212+G213+G214</f>
        <v>0</v>
      </c>
      <c r="H199" s="11">
        <f>H203+H204+H205+H206+H207+H208+H209+H210+H211+H212+H213+H214</f>
        <v>8492958</v>
      </c>
      <c r="I199" s="36">
        <f>SUM(J199:M199)</f>
        <v>0</v>
      </c>
      <c r="J199" s="14">
        <f>J203+J204+J205+J206+J207+J208+J209+J210+J211+J212+J213+J214</f>
        <v>0</v>
      </c>
      <c r="K199" s="14">
        <f>K203+K204+K205+K206+K207+K208+K209+K210+K211+K212+K213+K214</f>
        <v>0</v>
      </c>
      <c r="L199" s="14">
        <f>L203+L204+L205+L206+L207+L208+L209+L210+L211+L212+L213+L214</f>
        <v>0</v>
      </c>
      <c r="M199" s="314">
        <f>M203+M204+M205+M206+M207+M208+M209+M210+M211+M212+M213+M214</f>
        <v>0</v>
      </c>
    </row>
    <row r="200" spans="1:13" ht="14.25" customHeight="1">
      <c r="A200" s="434" t="s">
        <v>278</v>
      </c>
      <c r="B200" s="39" t="s">
        <v>319</v>
      </c>
      <c r="C200" s="425" t="s">
        <v>89</v>
      </c>
      <c r="D200" s="25">
        <f>SUM(E200:H200)</f>
        <v>8492958</v>
      </c>
      <c r="E200" s="69">
        <v>0</v>
      </c>
      <c r="F200" s="69">
        <v>0</v>
      </c>
      <c r="G200" s="69">
        <v>0</v>
      </c>
      <c r="H200" s="70">
        <v>8492958</v>
      </c>
      <c r="I200" s="27">
        <f>SUM(J200:M200)</f>
        <v>0</v>
      </c>
      <c r="J200" s="71">
        <v>0</v>
      </c>
      <c r="K200" s="26"/>
      <c r="L200" s="24"/>
      <c r="M200" s="299"/>
    </row>
    <row r="201" spans="1:13" ht="12.75" customHeight="1">
      <c r="A201" s="435"/>
      <c r="B201" s="39" t="s">
        <v>370</v>
      </c>
      <c r="C201" s="426"/>
      <c r="D201" s="25">
        <f>SUM(E201:H201)</f>
        <v>2830986</v>
      </c>
      <c r="E201" s="69"/>
      <c r="F201" s="69">
        <v>2830986</v>
      </c>
      <c r="G201" s="69"/>
      <c r="H201" s="70"/>
      <c r="I201" s="27">
        <f>SUM(J201:M201)</f>
        <v>0</v>
      </c>
      <c r="J201" s="71"/>
      <c r="K201" s="26"/>
      <c r="L201" s="24"/>
      <c r="M201" s="299"/>
    </row>
    <row r="202" spans="1:13" ht="16.5" customHeight="1">
      <c r="A202" s="435"/>
      <c r="B202" s="39" t="s">
        <v>579</v>
      </c>
      <c r="C202" s="426"/>
      <c r="D202" s="25">
        <f>SUM(E202:H202)</f>
        <v>1236292</v>
      </c>
      <c r="E202" s="69"/>
      <c r="F202" s="69">
        <v>1236292</v>
      </c>
      <c r="G202" s="69"/>
      <c r="H202" s="70"/>
      <c r="I202" s="27">
        <f>SUM(J202:M202)</f>
        <v>0</v>
      </c>
      <c r="J202" s="71"/>
      <c r="K202" s="26"/>
      <c r="L202" s="24"/>
      <c r="M202" s="299"/>
    </row>
    <row r="203" spans="1:13" ht="15.75" customHeight="1">
      <c r="A203" s="436"/>
      <c r="B203" s="3" t="s">
        <v>461</v>
      </c>
      <c r="C203" s="427"/>
      <c r="D203" s="38">
        <f aca="true" t="shared" si="21" ref="D203:M203">SUM(D200:D202)</f>
        <v>12560236</v>
      </c>
      <c r="E203" s="11">
        <f t="shared" si="21"/>
        <v>0</v>
      </c>
      <c r="F203" s="11">
        <f t="shared" si="21"/>
        <v>4067278</v>
      </c>
      <c r="G203" s="11">
        <f t="shared" si="21"/>
        <v>0</v>
      </c>
      <c r="H203" s="11">
        <f t="shared" si="21"/>
        <v>8492958</v>
      </c>
      <c r="I203" s="20">
        <f t="shared" si="21"/>
        <v>0</v>
      </c>
      <c r="J203" s="11">
        <f t="shared" si="21"/>
        <v>0</v>
      </c>
      <c r="K203" s="11">
        <f t="shared" si="21"/>
        <v>0</v>
      </c>
      <c r="L203" s="11">
        <f t="shared" si="21"/>
        <v>0</v>
      </c>
      <c r="M203" s="11">
        <f t="shared" si="21"/>
        <v>0</v>
      </c>
    </row>
    <row r="204" spans="1:13" ht="18" customHeight="1">
      <c r="A204" s="37" t="s">
        <v>280</v>
      </c>
      <c r="B204" s="39" t="s">
        <v>283</v>
      </c>
      <c r="C204" s="23" t="s">
        <v>597</v>
      </c>
      <c r="D204" s="25">
        <f aca="true" t="shared" si="22" ref="D204:D254">SUM(E204:H204)</f>
        <v>100000</v>
      </c>
      <c r="E204" s="97">
        <v>0</v>
      </c>
      <c r="F204" s="97">
        <v>100000</v>
      </c>
      <c r="G204" s="97">
        <v>0</v>
      </c>
      <c r="H204" s="98">
        <v>0</v>
      </c>
      <c r="I204" s="27">
        <f aca="true" t="shared" si="23" ref="I204:I228">SUM(J204:M204)</f>
        <v>0</v>
      </c>
      <c r="J204" s="99">
        <v>0</v>
      </c>
      <c r="K204" s="26"/>
      <c r="L204" s="24">
        <v>0</v>
      </c>
      <c r="M204" s="299">
        <v>0</v>
      </c>
    </row>
    <row r="205" spans="1:13" ht="29.25" customHeight="1">
      <c r="A205" s="41" t="s">
        <v>282</v>
      </c>
      <c r="B205" s="39" t="s">
        <v>283</v>
      </c>
      <c r="C205" s="51" t="s">
        <v>28</v>
      </c>
      <c r="D205" s="25">
        <f t="shared" si="22"/>
        <v>100000</v>
      </c>
      <c r="E205" s="100"/>
      <c r="F205" s="100">
        <v>100000</v>
      </c>
      <c r="G205" s="100"/>
      <c r="H205" s="101"/>
      <c r="I205" s="27">
        <f t="shared" si="23"/>
        <v>0</v>
      </c>
      <c r="J205" s="102"/>
      <c r="K205" s="32"/>
      <c r="L205" s="31"/>
      <c r="M205" s="59"/>
    </row>
    <row r="206" spans="1:13" ht="39" customHeight="1">
      <c r="A206" s="67" t="s">
        <v>284</v>
      </c>
      <c r="B206" s="39" t="s">
        <v>283</v>
      </c>
      <c r="C206" s="23" t="s">
        <v>90</v>
      </c>
      <c r="D206" s="25">
        <f t="shared" si="22"/>
        <v>3000000</v>
      </c>
      <c r="E206" s="69">
        <v>1500000</v>
      </c>
      <c r="F206" s="69">
        <v>1500000</v>
      </c>
      <c r="G206" s="69">
        <v>0</v>
      </c>
      <c r="H206" s="70">
        <v>0</v>
      </c>
      <c r="I206" s="27">
        <f t="shared" si="23"/>
        <v>0</v>
      </c>
      <c r="J206" s="71"/>
      <c r="K206" s="26"/>
      <c r="L206" s="24">
        <v>0</v>
      </c>
      <c r="M206" s="299">
        <v>0</v>
      </c>
    </row>
    <row r="207" spans="1:15" ht="18" customHeight="1">
      <c r="A207" s="67" t="s">
        <v>286</v>
      </c>
      <c r="B207" s="39" t="s">
        <v>283</v>
      </c>
      <c r="C207" s="23" t="s">
        <v>556</v>
      </c>
      <c r="D207" s="25">
        <f t="shared" si="22"/>
        <v>50000</v>
      </c>
      <c r="E207" s="69">
        <v>0</v>
      </c>
      <c r="F207" s="69">
        <v>50000</v>
      </c>
      <c r="G207" s="69">
        <v>0</v>
      </c>
      <c r="H207" s="70">
        <v>0</v>
      </c>
      <c r="I207" s="27">
        <f t="shared" si="23"/>
        <v>0</v>
      </c>
      <c r="J207" s="71">
        <v>0</v>
      </c>
      <c r="K207" s="26"/>
      <c r="L207" s="24">
        <v>0</v>
      </c>
      <c r="M207" s="299">
        <v>0</v>
      </c>
      <c r="O207" s="138">
        <f>SUM(F204:F213)</f>
        <v>2656000</v>
      </c>
    </row>
    <row r="208" spans="1:13" ht="27" customHeight="1">
      <c r="A208" s="67" t="s">
        <v>287</v>
      </c>
      <c r="B208" s="39" t="s">
        <v>283</v>
      </c>
      <c r="C208" s="23" t="s">
        <v>11</v>
      </c>
      <c r="D208" s="25">
        <f t="shared" si="22"/>
        <v>200000</v>
      </c>
      <c r="E208" s="69">
        <v>0</v>
      </c>
      <c r="F208" s="69">
        <v>200000</v>
      </c>
      <c r="G208" s="69">
        <v>0</v>
      </c>
      <c r="H208" s="70">
        <v>0</v>
      </c>
      <c r="I208" s="27">
        <f t="shared" si="23"/>
        <v>0</v>
      </c>
      <c r="J208" s="71">
        <v>0</v>
      </c>
      <c r="K208" s="26"/>
      <c r="L208" s="24">
        <v>0</v>
      </c>
      <c r="M208" s="299">
        <v>0</v>
      </c>
    </row>
    <row r="209" spans="1:13" ht="32.25" customHeight="1">
      <c r="A209" s="67" t="s">
        <v>288</v>
      </c>
      <c r="B209" s="39" t="s">
        <v>283</v>
      </c>
      <c r="C209" s="23" t="s">
        <v>3</v>
      </c>
      <c r="D209" s="25">
        <f t="shared" si="22"/>
        <v>0</v>
      </c>
      <c r="E209" s="97">
        <v>0</v>
      </c>
      <c r="F209" s="97">
        <v>0</v>
      </c>
      <c r="G209" s="97">
        <v>0</v>
      </c>
      <c r="H209" s="98">
        <v>0</v>
      </c>
      <c r="I209" s="27">
        <f t="shared" si="23"/>
        <v>0</v>
      </c>
      <c r="J209" s="99">
        <v>0</v>
      </c>
      <c r="K209" s="26">
        <v>0</v>
      </c>
      <c r="L209" s="24">
        <v>0</v>
      </c>
      <c r="M209" s="299">
        <v>0</v>
      </c>
    </row>
    <row r="210" spans="1:13" ht="28.5" customHeight="1">
      <c r="A210" s="67" t="s">
        <v>290</v>
      </c>
      <c r="B210" s="39" t="s">
        <v>283</v>
      </c>
      <c r="C210" s="23" t="s">
        <v>185</v>
      </c>
      <c r="D210" s="25">
        <f t="shared" si="22"/>
        <v>760000</v>
      </c>
      <c r="E210" s="97">
        <v>180000</v>
      </c>
      <c r="F210" s="97">
        <v>580000</v>
      </c>
      <c r="G210" s="97">
        <v>0</v>
      </c>
      <c r="H210" s="98">
        <v>0</v>
      </c>
      <c r="I210" s="27">
        <f t="shared" si="23"/>
        <v>0</v>
      </c>
      <c r="J210" s="99"/>
      <c r="K210" s="26"/>
      <c r="L210" s="24">
        <v>0</v>
      </c>
      <c r="M210" s="299">
        <v>0</v>
      </c>
    </row>
    <row r="211" spans="1:13" ht="18" customHeight="1">
      <c r="A211" s="67" t="s">
        <v>291</v>
      </c>
      <c r="B211" s="39" t="s">
        <v>283</v>
      </c>
      <c r="C211" s="23" t="s">
        <v>563</v>
      </c>
      <c r="D211" s="25">
        <f t="shared" si="22"/>
        <v>70000</v>
      </c>
      <c r="E211" s="97">
        <v>0</v>
      </c>
      <c r="F211" s="97">
        <v>70000</v>
      </c>
      <c r="G211" s="97">
        <v>0</v>
      </c>
      <c r="H211" s="98">
        <v>0</v>
      </c>
      <c r="I211" s="27">
        <f t="shared" si="23"/>
        <v>0</v>
      </c>
      <c r="J211" s="99"/>
      <c r="K211" s="26"/>
      <c r="L211" s="24">
        <v>0</v>
      </c>
      <c r="M211" s="299">
        <v>0</v>
      </c>
    </row>
    <row r="212" spans="1:13" ht="30" customHeight="1">
      <c r="A212" s="67" t="s">
        <v>293</v>
      </c>
      <c r="B212" s="39" t="s">
        <v>329</v>
      </c>
      <c r="C212" s="23" t="s">
        <v>22</v>
      </c>
      <c r="D212" s="25">
        <f t="shared" si="22"/>
        <v>30000</v>
      </c>
      <c r="E212" s="97">
        <v>0</v>
      </c>
      <c r="F212" s="97">
        <v>30000</v>
      </c>
      <c r="G212" s="97">
        <v>0</v>
      </c>
      <c r="H212" s="98">
        <v>0</v>
      </c>
      <c r="I212" s="27">
        <f t="shared" si="23"/>
        <v>0</v>
      </c>
      <c r="J212" s="99"/>
      <c r="K212" s="26"/>
      <c r="L212" s="24">
        <v>0</v>
      </c>
      <c r="M212" s="299">
        <v>0</v>
      </c>
    </row>
    <row r="213" spans="1:13" ht="26.25" customHeight="1">
      <c r="A213" s="67" t="s">
        <v>294</v>
      </c>
      <c r="B213" s="39" t="s">
        <v>329</v>
      </c>
      <c r="C213" s="23" t="s">
        <v>564</v>
      </c>
      <c r="D213" s="25">
        <f t="shared" si="22"/>
        <v>26000</v>
      </c>
      <c r="E213" s="97">
        <v>0</v>
      </c>
      <c r="F213" s="97">
        <v>26000</v>
      </c>
      <c r="G213" s="97">
        <v>0</v>
      </c>
      <c r="H213" s="98">
        <v>0</v>
      </c>
      <c r="I213" s="27">
        <f t="shared" si="23"/>
        <v>0</v>
      </c>
      <c r="J213" s="99"/>
      <c r="K213" s="26"/>
      <c r="L213" s="24">
        <v>0</v>
      </c>
      <c r="M213" s="299">
        <v>0</v>
      </c>
    </row>
    <row r="214" spans="1:13" ht="20.25" customHeight="1">
      <c r="A214" s="67" t="s">
        <v>295</v>
      </c>
      <c r="B214" s="39" t="s">
        <v>329</v>
      </c>
      <c r="C214" s="23" t="s">
        <v>184</v>
      </c>
      <c r="D214" s="25">
        <f t="shared" si="22"/>
        <v>45000</v>
      </c>
      <c r="E214" s="97">
        <v>45000</v>
      </c>
      <c r="F214" s="97">
        <v>0</v>
      </c>
      <c r="G214" s="97">
        <v>0</v>
      </c>
      <c r="H214" s="98">
        <v>0</v>
      </c>
      <c r="I214" s="27">
        <f t="shared" si="23"/>
        <v>0</v>
      </c>
      <c r="J214" s="99"/>
      <c r="K214" s="295"/>
      <c r="L214" s="296">
        <v>0</v>
      </c>
      <c r="M214" s="332">
        <v>0</v>
      </c>
    </row>
    <row r="215" spans="1:13" ht="27" customHeight="1">
      <c r="A215" s="37"/>
      <c r="B215" s="3" t="s">
        <v>451</v>
      </c>
      <c r="C215" s="6" t="s">
        <v>5</v>
      </c>
      <c r="D215" s="38">
        <f t="shared" si="22"/>
        <v>3500</v>
      </c>
      <c r="E215" s="19">
        <f>SUM(E216:E216)</f>
        <v>0</v>
      </c>
      <c r="F215" s="19">
        <f>SUM(F216:F216)</f>
        <v>0</v>
      </c>
      <c r="G215" s="19">
        <f>SUM(G216:G216)</f>
        <v>0</v>
      </c>
      <c r="H215" s="89">
        <f>SUM(H216)</f>
        <v>3500</v>
      </c>
      <c r="I215" s="20">
        <f t="shared" si="23"/>
        <v>0</v>
      </c>
      <c r="J215" s="77">
        <f>SUM(J216:J216)</f>
        <v>0</v>
      </c>
      <c r="K215" s="77">
        <f>SUM(K216:K216)</f>
        <v>0</v>
      </c>
      <c r="L215" s="77">
        <f>SUM(L216:L216)</f>
        <v>0</v>
      </c>
      <c r="M215" s="77">
        <f>SUM(M216)</f>
        <v>0</v>
      </c>
    </row>
    <row r="216" spans="1:13" ht="18" customHeight="1">
      <c r="A216" s="37" t="s">
        <v>278</v>
      </c>
      <c r="B216" s="22" t="s">
        <v>329</v>
      </c>
      <c r="C216" s="23" t="s">
        <v>23</v>
      </c>
      <c r="D216" s="25">
        <f t="shared" si="22"/>
        <v>3500</v>
      </c>
      <c r="E216" s="97"/>
      <c r="F216" s="97">
        <v>0</v>
      </c>
      <c r="G216" s="97"/>
      <c r="H216" s="98">
        <v>3500</v>
      </c>
      <c r="I216" s="27">
        <f t="shared" si="23"/>
        <v>0</v>
      </c>
      <c r="J216" s="99"/>
      <c r="K216" s="26">
        <v>0</v>
      </c>
      <c r="L216" s="24"/>
      <c r="M216" s="299"/>
    </row>
    <row r="217" spans="1:13" ht="28.5" customHeight="1">
      <c r="A217" s="37"/>
      <c r="B217" s="3" t="s">
        <v>454</v>
      </c>
      <c r="C217" s="6" t="s">
        <v>455</v>
      </c>
      <c r="D217" s="38">
        <f t="shared" si="22"/>
        <v>146000</v>
      </c>
      <c r="E217" s="19">
        <f>SUM(E218:E219)</f>
        <v>32000</v>
      </c>
      <c r="F217" s="19">
        <f>SUM(F218:F219)</f>
        <v>0</v>
      </c>
      <c r="G217" s="19">
        <f>SUM(G218:G219)</f>
        <v>0</v>
      </c>
      <c r="H217" s="19">
        <f>SUM(H218:H219)</f>
        <v>114000</v>
      </c>
      <c r="I217" s="20">
        <f t="shared" si="23"/>
        <v>0</v>
      </c>
      <c r="J217" s="343">
        <f>SUM(J218:J219)</f>
        <v>0</v>
      </c>
      <c r="K217" s="343">
        <f>SUM(K218:K219)</f>
        <v>0</v>
      </c>
      <c r="L217" s="343">
        <f>SUM(L218:L219)</f>
        <v>0</v>
      </c>
      <c r="M217" s="343">
        <f>SUM(M218:M219)</f>
        <v>0</v>
      </c>
    </row>
    <row r="218" spans="1:13" ht="30.75" customHeight="1">
      <c r="A218" s="37" t="s">
        <v>278</v>
      </c>
      <c r="B218" s="95" t="s">
        <v>283</v>
      </c>
      <c r="C218" s="30" t="s">
        <v>24</v>
      </c>
      <c r="D218" s="25">
        <f t="shared" si="22"/>
        <v>26000</v>
      </c>
      <c r="E218" s="100"/>
      <c r="F218" s="100"/>
      <c r="G218" s="100"/>
      <c r="H218" s="101">
        <v>26000</v>
      </c>
      <c r="I218" s="27">
        <f t="shared" si="23"/>
        <v>0</v>
      </c>
      <c r="J218" s="99"/>
      <c r="K218" s="26"/>
      <c r="L218" s="24"/>
      <c r="M218" s="299"/>
    </row>
    <row r="219" spans="1:13" ht="37.5" customHeight="1">
      <c r="A219" s="37" t="s">
        <v>280</v>
      </c>
      <c r="B219" s="95" t="s">
        <v>329</v>
      </c>
      <c r="C219" s="30" t="s">
        <v>161</v>
      </c>
      <c r="D219" s="25">
        <f t="shared" si="22"/>
        <v>120000</v>
      </c>
      <c r="E219" s="100">
        <v>32000</v>
      </c>
      <c r="F219" s="100"/>
      <c r="G219" s="100"/>
      <c r="H219" s="101">
        <v>88000</v>
      </c>
      <c r="I219" s="27">
        <f t="shared" si="23"/>
        <v>0</v>
      </c>
      <c r="J219" s="99"/>
      <c r="K219" s="26"/>
      <c r="L219" s="24"/>
      <c r="M219" s="299"/>
    </row>
    <row r="220" spans="1:13" ht="24.75" customHeight="1">
      <c r="A220" s="37"/>
      <c r="B220" s="3" t="s">
        <v>135</v>
      </c>
      <c r="C220" s="6" t="s">
        <v>136</v>
      </c>
      <c r="D220" s="38">
        <f t="shared" si="22"/>
        <v>9000</v>
      </c>
      <c r="E220" s="19">
        <f>SUM(E221)</f>
        <v>0</v>
      </c>
      <c r="F220" s="19">
        <f>SUM(F221)</f>
        <v>9000</v>
      </c>
      <c r="G220" s="19">
        <f>SUM(G221)</f>
        <v>0</v>
      </c>
      <c r="H220" s="19">
        <f>SUM(H221)</f>
        <v>0</v>
      </c>
      <c r="I220" s="20">
        <f t="shared" si="23"/>
        <v>0</v>
      </c>
      <c r="J220" s="21">
        <f>SUM(J221)</f>
        <v>0</v>
      </c>
      <c r="K220" s="21">
        <f>SUM(K221)</f>
        <v>0</v>
      </c>
      <c r="L220" s="21">
        <f>SUM(L221)</f>
        <v>0</v>
      </c>
      <c r="M220" s="317">
        <f>SUM(M221)</f>
        <v>0</v>
      </c>
    </row>
    <row r="221" spans="1:13" ht="30" customHeight="1">
      <c r="A221" s="37" t="s">
        <v>278</v>
      </c>
      <c r="B221" s="22" t="s">
        <v>283</v>
      </c>
      <c r="C221" s="160" t="s">
        <v>137</v>
      </c>
      <c r="D221" s="25">
        <f t="shared" si="22"/>
        <v>9000</v>
      </c>
      <c r="E221" s="97">
        <v>0</v>
      </c>
      <c r="F221" s="97">
        <v>9000</v>
      </c>
      <c r="G221" s="97">
        <v>0</v>
      </c>
      <c r="H221" s="98">
        <v>0</v>
      </c>
      <c r="I221" s="27">
        <f t="shared" si="23"/>
        <v>0</v>
      </c>
      <c r="J221" s="99">
        <v>0</v>
      </c>
      <c r="K221" s="26"/>
      <c r="L221" s="24">
        <v>0</v>
      </c>
      <c r="M221" s="299">
        <v>0</v>
      </c>
    </row>
    <row r="222" spans="1:13" ht="24.75" customHeight="1">
      <c r="A222" s="37"/>
      <c r="B222" s="3" t="s">
        <v>382</v>
      </c>
      <c r="C222" s="6" t="s">
        <v>100</v>
      </c>
      <c r="D222" s="38">
        <f t="shared" si="22"/>
        <v>620000</v>
      </c>
      <c r="E222" s="19">
        <f>SUM(E223:E226)</f>
        <v>0</v>
      </c>
      <c r="F222" s="19">
        <f>SUM(F223:F226)</f>
        <v>620000</v>
      </c>
      <c r="G222" s="19">
        <f>SUM(G223:G226)</f>
        <v>0</v>
      </c>
      <c r="H222" s="19">
        <f>SUM(H223:H226)</f>
        <v>0</v>
      </c>
      <c r="I222" s="20">
        <f t="shared" si="23"/>
        <v>0</v>
      </c>
      <c r="J222" s="21">
        <f>SUM(J223:J226)</f>
        <v>0</v>
      </c>
      <c r="K222" s="21">
        <f>SUM(K223:K226)</f>
        <v>0</v>
      </c>
      <c r="L222" s="21">
        <f>SUM(L223:L226)</f>
        <v>0</v>
      </c>
      <c r="M222" s="21">
        <f>SUM(M223:M226)</f>
        <v>0</v>
      </c>
    </row>
    <row r="223" spans="1:13" ht="18.75" customHeight="1">
      <c r="A223" s="37" t="s">
        <v>278</v>
      </c>
      <c r="B223" s="22" t="s">
        <v>283</v>
      </c>
      <c r="C223" s="103" t="s">
        <v>50</v>
      </c>
      <c r="D223" s="25">
        <f t="shared" si="22"/>
        <v>0</v>
      </c>
      <c r="E223" s="97">
        <v>0</v>
      </c>
      <c r="F223" s="97">
        <v>0</v>
      </c>
      <c r="G223" s="97">
        <v>0</v>
      </c>
      <c r="H223" s="98">
        <v>0</v>
      </c>
      <c r="I223" s="27">
        <f t="shared" si="23"/>
        <v>0</v>
      </c>
      <c r="J223" s="99">
        <v>0</v>
      </c>
      <c r="K223" s="26">
        <v>0</v>
      </c>
      <c r="L223" s="24">
        <v>0</v>
      </c>
      <c r="M223" s="299">
        <v>0</v>
      </c>
    </row>
    <row r="224" spans="1:13" ht="18.75" customHeight="1">
      <c r="A224" s="37" t="s">
        <v>280</v>
      </c>
      <c r="B224" s="22" t="s">
        <v>283</v>
      </c>
      <c r="C224" s="103" t="s">
        <v>48</v>
      </c>
      <c r="D224" s="25">
        <f t="shared" si="22"/>
        <v>200000</v>
      </c>
      <c r="E224" s="97">
        <v>0</v>
      </c>
      <c r="F224" s="97">
        <v>200000</v>
      </c>
      <c r="G224" s="97">
        <v>0</v>
      </c>
      <c r="H224" s="98">
        <v>0</v>
      </c>
      <c r="I224" s="27">
        <f t="shared" si="23"/>
        <v>0</v>
      </c>
      <c r="J224" s="99">
        <v>0</v>
      </c>
      <c r="K224" s="26"/>
      <c r="L224" s="24">
        <v>0</v>
      </c>
      <c r="M224" s="299">
        <v>0</v>
      </c>
    </row>
    <row r="225" spans="1:13" ht="28.5" customHeight="1">
      <c r="A225" s="37" t="s">
        <v>282</v>
      </c>
      <c r="B225" s="22" t="s">
        <v>283</v>
      </c>
      <c r="C225" s="23" t="s">
        <v>53</v>
      </c>
      <c r="D225" s="25">
        <f t="shared" si="22"/>
        <v>300000</v>
      </c>
      <c r="E225" s="97">
        <v>0</v>
      </c>
      <c r="F225" s="97">
        <v>300000</v>
      </c>
      <c r="G225" s="97">
        <v>0</v>
      </c>
      <c r="H225" s="98">
        <v>0</v>
      </c>
      <c r="I225" s="27">
        <f t="shared" si="23"/>
        <v>0</v>
      </c>
      <c r="J225" s="99">
        <v>0</v>
      </c>
      <c r="K225" s="26"/>
      <c r="L225" s="24">
        <v>0</v>
      </c>
      <c r="M225" s="299">
        <v>0</v>
      </c>
    </row>
    <row r="226" spans="1:13" ht="26.25" customHeight="1">
      <c r="A226" s="37" t="s">
        <v>284</v>
      </c>
      <c r="B226" s="22" t="s">
        <v>283</v>
      </c>
      <c r="C226" s="23" t="s">
        <v>176</v>
      </c>
      <c r="D226" s="25">
        <f t="shared" si="22"/>
        <v>120000</v>
      </c>
      <c r="E226" s="97"/>
      <c r="F226" s="97">
        <v>120000</v>
      </c>
      <c r="G226" s="97"/>
      <c r="H226" s="98"/>
      <c r="I226" s="27">
        <f t="shared" si="23"/>
        <v>0</v>
      </c>
      <c r="J226" s="99"/>
      <c r="K226" s="295"/>
      <c r="L226" s="296"/>
      <c r="M226" s="332"/>
    </row>
    <row r="227" spans="1:13" ht="27" customHeight="1">
      <c r="A227" s="37"/>
      <c r="B227" s="3" t="s">
        <v>465</v>
      </c>
      <c r="C227" s="6" t="s">
        <v>177</v>
      </c>
      <c r="D227" s="38">
        <f>SUM(E227:H227)</f>
        <v>320000</v>
      </c>
      <c r="E227" s="19">
        <f>SUM(E228)</f>
        <v>320000</v>
      </c>
      <c r="F227" s="19">
        <f>SUM(F228)</f>
        <v>0</v>
      </c>
      <c r="G227" s="19">
        <f>SUM(G228)</f>
        <v>0</v>
      </c>
      <c r="H227" s="19">
        <f>SUM(H228)</f>
        <v>0</v>
      </c>
      <c r="I227" s="20">
        <f t="shared" si="23"/>
        <v>0</v>
      </c>
      <c r="J227" s="21">
        <f>SUM(J228)</f>
        <v>0</v>
      </c>
      <c r="K227" s="21">
        <f>SUM(K228)</f>
        <v>0</v>
      </c>
      <c r="L227" s="21">
        <f>SUM(L228)</f>
        <v>0</v>
      </c>
      <c r="M227" s="317">
        <f>SUM(M228)</f>
        <v>0</v>
      </c>
    </row>
    <row r="228" spans="1:13" ht="51" customHeight="1">
      <c r="A228" s="37" t="s">
        <v>278</v>
      </c>
      <c r="B228" s="22" t="s">
        <v>333</v>
      </c>
      <c r="C228" s="160" t="s">
        <v>178</v>
      </c>
      <c r="D228" s="25">
        <f>SUM(E228:H228)</f>
        <v>320000</v>
      </c>
      <c r="E228" s="97">
        <v>320000</v>
      </c>
      <c r="F228" s="97">
        <v>0</v>
      </c>
      <c r="G228" s="97">
        <v>0</v>
      </c>
      <c r="H228" s="98">
        <v>0</v>
      </c>
      <c r="I228" s="27">
        <f t="shared" si="23"/>
        <v>0</v>
      </c>
      <c r="J228" s="99"/>
      <c r="K228" s="26">
        <v>0</v>
      </c>
      <c r="L228" s="24">
        <v>0</v>
      </c>
      <c r="M228" s="299">
        <v>0</v>
      </c>
    </row>
    <row r="229" spans="1:13" ht="27" customHeight="1">
      <c r="A229" s="37"/>
      <c r="B229" s="3" t="s">
        <v>385</v>
      </c>
      <c r="C229" s="6" t="s">
        <v>386</v>
      </c>
      <c r="D229" s="38">
        <f t="shared" si="22"/>
        <v>27884</v>
      </c>
      <c r="E229" s="19">
        <f>SUM(E230:E231)</f>
        <v>2784</v>
      </c>
      <c r="F229" s="19">
        <f>SUM(F230:F231)</f>
        <v>25100</v>
      </c>
      <c r="G229" s="19">
        <f>SUM(G230:G231)</f>
        <v>0</v>
      </c>
      <c r="H229" s="19">
        <f>SUM(H230:H231)</f>
        <v>0</v>
      </c>
      <c r="I229" s="20">
        <f aca="true" t="shared" si="24" ref="I229:I244">SUM(J229:M229)</f>
        <v>0</v>
      </c>
      <c r="J229" s="19">
        <f>SUM(J230:J231)</f>
        <v>0</v>
      </c>
      <c r="K229" s="19">
        <f>SUM(K230:K231)</f>
        <v>0</v>
      </c>
      <c r="L229" s="19">
        <f>SUM(L230:L231)</f>
        <v>0</v>
      </c>
      <c r="M229" s="19">
        <f>SUM(M230:M231)</f>
        <v>0</v>
      </c>
    </row>
    <row r="230" spans="1:13" ht="27" customHeight="1">
      <c r="A230" s="37" t="s">
        <v>278</v>
      </c>
      <c r="B230" s="22" t="s">
        <v>283</v>
      </c>
      <c r="C230" s="23" t="s">
        <v>25</v>
      </c>
      <c r="D230" s="25">
        <f t="shared" si="22"/>
        <v>25100</v>
      </c>
      <c r="E230" s="97"/>
      <c r="F230" s="97">
        <v>25100</v>
      </c>
      <c r="G230" s="97"/>
      <c r="H230" s="98">
        <v>0</v>
      </c>
      <c r="I230" s="27">
        <f t="shared" si="24"/>
        <v>0</v>
      </c>
      <c r="J230" s="99"/>
      <c r="K230" s="26"/>
      <c r="L230" s="24"/>
      <c r="M230" s="299">
        <v>0</v>
      </c>
    </row>
    <row r="231" spans="1:13" ht="27" customHeight="1">
      <c r="A231" s="37" t="s">
        <v>280</v>
      </c>
      <c r="B231" s="22" t="s">
        <v>329</v>
      </c>
      <c r="C231" s="23" t="s">
        <v>200</v>
      </c>
      <c r="D231" s="25">
        <f t="shared" si="22"/>
        <v>2784</v>
      </c>
      <c r="E231" s="97">
        <v>2784</v>
      </c>
      <c r="F231" s="97">
        <v>0</v>
      </c>
      <c r="G231" s="97">
        <v>0</v>
      </c>
      <c r="H231" s="98">
        <v>0</v>
      </c>
      <c r="I231" s="27">
        <f t="shared" si="24"/>
        <v>0</v>
      </c>
      <c r="J231" s="99"/>
      <c r="K231" s="295">
        <v>0</v>
      </c>
      <c r="L231" s="296">
        <v>0</v>
      </c>
      <c r="M231" s="332">
        <v>0</v>
      </c>
    </row>
    <row r="232" spans="1:13" ht="27" customHeight="1">
      <c r="A232" s="37"/>
      <c r="B232" s="3" t="s">
        <v>358</v>
      </c>
      <c r="C232" s="6" t="s">
        <v>390</v>
      </c>
      <c r="D232" s="38">
        <f t="shared" si="22"/>
        <v>0</v>
      </c>
      <c r="E232" s="19">
        <f>E233</f>
        <v>0</v>
      </c>
      <c r="F232" s="19">
        <f>F233</f>
        <v>0</v>
      </c>
      <c r="G232" s="19">
        <f>G233</f>
        <v>0</v>
      </c>
      <c r="H232" s="89">
        <f>H233</f>
        <v>0</v>
      </c>
      <c r="I232" s="20">
        <f t="shared" si="24"/>
        <v>0</v>
      </c>
      <c r="J232" s="77">
        <f>J233</f>
        <v>0</v>
      </c>
      <c r="K232" s="77">
        <f>K233</f>
        <v>0</v>
      </c>
      <c r="L232" s="77">
        <f>L233</f>
        <v>0</v>
      </c>
      <c r="M232" s="314">
        <f>M233</f>
        <v>0</v>
      </c>
    </row>
    <row r="233" spans="1:13" ht="18" customHeight="1">
      <c r="A233" s="37" t="s">
        <v>278</v>
      </c>
      <c r="B233" s="39" t="s">
        <v>329</v>
      </c>
      <c r="C233" s="23" t="s">
        <v>26</v>
      </c>
      <c r="D233" s="25">
        <f t="shared" si="22"/>
        <v>0</v>
      </c>
      <c r="E233" s="97">
        <v>0</v>
      </c>
      <c r="F233" s="97">
        <v>0</v>
      </c>
      <c r="G233" s="97">
        <v>0</v>
      </c>
      <c r="H233" s="98">
        <v>0</v>
      </c>
      <c r="I233" s="27">
        <f t="shared" si="24"/>
        <v>0</v>
      </c>
      <c r="J233" s="99">
        <v>0</v>
      </c>
      <c r="K233" s="26">
        <v>0</v>
      </c>
      <c r="L233" s="24">
        <v>0</v>
      </c>
      <c r="M233" s="299">
        <v>0</v>
      </c>
    </row>
    <row r="234" spans="1:13" ht="39.75" customHeight="1">
      <c r="A234" s="37"/>
      <c r="B234" s="3" t="s">
        <v>569</v>
      </c>
      <c r="C234" s="6" t="s">
        <v>99</v>
      </c>
      <c r="D234" s="38">
        <f t="shared" si="22"/>
        <v>10000</v>
      </c>
      <c r="E234" s="19">
        <f>SUM(E235)</f>
        <v>0</v>
      </c>
      <c r="F234" s="19">
        <f>SUM(F235)</f>
        <v>10000</v>
      </c>
      <c r="G234" s="19">
        <f>SUM(G235)</f>
        <v>0</v>
      </c>
      <c r="H234" s="89">
        <f>SUM(H235)</f>
        <v>0</v>
      </c>
      <c r="I234" s="20">
        <f t="shared" si="24"/>
        <v>0</v>
      </c>
      <c r="J234" s="21">
        <f>SUM(J235)</f>
        <v>0</v>
      </c>
      <c r="K234" s="21">
        <f>SUM(K235)</f>
        <v>0</v>
      </c>
      <c r="L234" s="21">
        <f>SUM(L235)</f>
        <v>0</v>
      </c>
      <c r="M234" s="317">
        <f>SUM(M235)</f>
        <v>0</v>
      </c>
    </row>
    <row r="235" spans="1:13" ht="18" customHeight="1" thickBot="1">
      <c r="A235" s="37" t="s">
        <v>278</v>
      </c>
      <c r="B235" s="22" t="s">
        <v>329</v>
      </c>
      <c r="C235" s="23" t="s">
        <v>27</v>
      </c>
      <c r="D235" s="25">
        <f t="shared" si="22"/>
        <v>10000</v>
      </c>
      <c r="E235" s="97">
        <v>0</v>
      </c>
      <c r="F235" s="97">
        <v>10000</v>
      </c>
      <c r="G235" s="97">
        <v>0</v>
      </c>
      <c r="H235" s="98"/>
      <c r="I235" s="344">
        <f t="shared" si="24"/>
        <v>0</v>
      </c>
      <c r="J235" s="99">
        <v>0</v>
      </c>
      <c r="K235" s="26"/>
      <c r="L235" s="24">
        <v>0</v>
      </c>
      <c r="M235" s="299"/>
    </row>
    <row r="236" spans="1:13" ht="27" customHeight="1">
      <c r="A236" s="37"/>
      <c r="B236" s="3" t="s">
        <v>387</v>
      </c>
      <c r="C236" s="6" t="s">
        <v>117</v>
      </c>
      <c r="D236" s="38">
        <f t="shared" si="22"/>
        <v>89000</v>
      </c>
      <c r="E236" s="19">
        <f>SUM(E237:E238)</f>
        <v>9000</v>
      </c>
      <c r="F236" s="19">
        <f>SUM(F237:F238)</f>
        <v>80000</v>
      </c>
      <c r="G236" s="19">
        <f>SUM(G237:G238)</f>
        <v>0</v>
      </c>
      <c r="H236" s="19">
        <f>SUM(H237:H238)</f>
        <v>0</v>
      </c>
      <c r="I236" s="20">
        <f t="shared" si="24"/>
        <v>0</v>
      </c>
      <c r="J236" s="19">
        <f>SUM(J237:J238)</f>
        <v>0</v>
      </c>
      <c r="K236" s="19">
        <f>SUM(K237:K238)</f>
        <v>0</v>
      </c>
      <c r="L236" s="19">
        <f>SUM(L237:L238)</f>
        <v>0</v>
      </c>
      <c r="M236" s="19">
        <f>SUM(M237:M238)</f>
        <v>0</v>
      </c>
    </row>
    <row r="237" spans="1:13" ht="24" customHeight="1">
      <c r="A237" s="37" t="s">
        <v>278</v>
      </c>
      <c r="B237" s="39" t="s">
        <v>283</v>
      </c>
      <c r="C237" s="23" t="s">
        <v>205</v>
      </c>
      <c r="D237" s="25">
        <f t="shared" si="22"/>
        <v>59000</v>
      </c>
      <c r="E237" s="97">
        <v>9000</v>
      </c>
      <c r="F237" s="97">
        <v>50000</v>
      </c>
      <c r="G237" s="97">
        <v>0</v>
      </c>
      <c r="H237" s="98">
        <v>0</v>
      </c>
      <c r="I237" s="27">
        <f t="shared" si="24"/>
        <v>0</v>
      </c>
      <c r="J237" s="99"/>
      <c r="K237" s="26"/>
      <c r="L237" s="24">
        <v>0</v>
      </c>
      <c r="M237" s="299">
        <v>0</v>
      </c>
    </row>
    <row r="238" spans="1:13" ht="23.25" customHeight="1">
      <c r="A238" s="37" t="s">
        <v>280</v>
      </c>
      <c r="B238" s="39" t="s">
        <v>283</v>
      </c>
      <c r="C238" s="103" t="s">
        <v>139</v>
      </c>
      <c r="D238" s="25">
        <f t="shared" si="22"/>
        <v>30000</v>
      </c>
      <c r="E238" s="97"/>
      <c r="F238" s="97">
        <v>30000</v>
      </c>
      <c r="G238" s="97"/>
      <c r="H238" s="98"/>
      <c r="I238" s="27">
        <f t="shared" si="24"/>
        <v>0</v>
      </c>
      <c r="J238" s="99"/>
      <c r="K238" s="295"/>
      <c r="L238" s="296"/>
      <c r="M238" s="299">
        <v>0</v>
      </c>
    </row>
    <row r="239" spans="1:13" ht="27" customHeight="1">
      <c r="A239" s="37"/>
      <c r="B239" s="3" t="s">
        <v>110</v>
      </c>
      <c r="C239" s="6" t="s">
        <v>118</v>
      </c>
      <c r="D239" s="38">
        <f t="shared" si="22"/>
        <v>9801</v>
      </c>
      <c r="E239" s="19">
        <f>E240</f>
        <v>0</v>
      </c>
      <c r="F239" s="19">
        <f>F240</f>
        <v>0</v>
      </c>
      <c r="G239" s="19">
        <f>G240</f>
        <v>0</v>
      </c>
      <c r="H239" s="89">
        <f>SUM(H240:H241)</f>
        <v>9801</v>
      </c>
      <c r="I239" s="20">
        <f t="shared" si="24"/>
        <v>0</v>
      </c>
      <c r="J239" s="77">
        <f>J240</f>
        <v>0</v>
      </c>
      <c r="K239" s="77">
        <f>K240</f>
        <v>0</v>
      </c>
      <c r="L239" s="77">
        <f>L240</f>
        <v>0</v>
      </c>
      <c r="M239" s="314">
        <f>SUM(M240:M241)</f>
        <v>0</v>
      </c>
    </row>
    <row r="240" spans="1:13" ht="18" customHeight="1">
      <c r="A240" s="422" t="s">
        <v>278</v>
      </c>
      <c r="B240" s="39" t="s">
        <v>111</v>
      </c>
      <c r="C240" s="425" t="s">
        <v>119</v>
      </c>
      <c r="D240" s="25">
        <f t="shared" si="22"/>
        <v>6669</v>
      </c>
      <c r="E240" s="97"/>
      <c r="F240" s="97"/>
      <c r="G240" s="97">
        <v>0</v>
      </c>
      <c r="H240" s="98">
        <v>6669</v>
      </c>
      <c r="I240" s="27">
        <f t="shared" si="24"/>
        <v>0</v>
      </c>
      <c r="J240" s="99"/>
      <c r="K240" s="26"/>
      <c r="L240" s="24">
        <v>0</v>
      </c>
      <c r="M240" s="299"/>
    </row>
    <row r="241" spans="1:13" ht="17.25" customHeight="1">
      <c r="A241" s="423"/>
      <c r="B241" s="39" t="s">
        <v>112</v>
      </c>
      <c r="C241" s="426"/>
      <c r="D241" s="25">
        <f t="shared" si="22"/>
        <v>3132</v>
      </c>
      <c r="E241" s="97"/>
      <c r="F241" s="97"/>
      <c r="G241" s="97"/>
      <c r="H241" s="98">
        <v>3132</v>
      </c>
      <c r="I241" s="27">
        <f t="shared" si="24"/>
        <v>0</v>
      </c>
      <c r="J241" s="99"/>
      <c r="K241" s="295"/>
      <c r="L241" s="296"/>
      <c r="M241" s="332"/>
    </row>
    <row r="242" spans="1:13" ht="12.75" customHeight="1">
      <c r="A242" s="424"/>
      <c r="B242" s="3" t="s">
        <v>461</v>
      </c>
      <c r="C242" s="427"/>
      <c r="D242" s="354">
        <f t="shared" si="22"/>
        <v>9801</v>
      </c>
      <c r="E242" s="354">
        <f>SUM(E240:E241)</f>
        <v>0</v>
      </c>
      <c r="F242" s="354">
        <f>SUM(F240:F241)</f>
        <v>0</v>
      </c>
      <c r="G242" s="354">
        <f>SUM(G240:G241)</f>
        <v>0</v>
      </c>
      <c r="H242" s="354">
        <f>SUM(H240:H241)</f>
        <v>9801</v>
      </c>
      <c r="I242" s="27">
        <f t="shared" si="24"/>
        <v>0</v>
      </c>
      <c r="J242" s="99">
        <f>SUM(J240:J241)</f>
        <v>0</v>
      </c>
      <c r="K242" s="295">
        <f>SUM(K240:K241)</f>
        <v>0</v>
      </c>
      <c r="L242" s="296">
        <f>SUM(L240:L241)</f>
        <v>0</v>
      </c>
      <c r="M242" s="332">
        <f>SUM(M240:M241)</f>
        <v>0</v>
      </c>
    </row>
    <row r="243" spans="1:13" ht="33" customHeight="1">
      <c r="A243" s="37"/>
      <c r="B243" s="3" t="s">
        <v>317</v>
      </c>
      <c r="C243" s="6" t="s">
        <v>87</v>
      </c>
      <c r="D243" s="38">
        <f t="shared" si="22"/>
        <v>1243000</v>
      </c>
      <c r="E243" s="19">
        <f>E244</f>
        <v>0</v>
      </c>
      <c r="F243" s="19">
        <f>F244</f>
        <v>1243000</v>
      </c>
      <c r="G243" s="19">
        <f>G244</f>
        <v>0</v>
      </c>
      <c r="H243" s="89">
        <f>H244</f>
        <v>0</v>
      </c>
      <c r="I243" s="20">
        <f t="shared" si="24"/>
        <v>0</v>
      </c>
      <c r="J243" s="90">
        <f>J244</f>
        <v>0</v>
      </c>
      <c r="K243" s="90">
        <f>K244</f>
        <v>0</v>
      </c>
      <c r="L243" s="90">
        <f>L244</f>
        <v>0</v>
      </c>
      <c r="M243" s="317">
        <f>M244</f>
        <v>0</v>
      </c>
    </row>
    <row r="244" spans="1:13" ht="33.75" customHeight="1">
      <c r="A244" s="37" t="s">
        <v>278</v>
      </c>
      <c r="B244" s="39" t="s">
        <v>283</v>
      </c>
      <c r="C244" s="23" t="s">
        <v>380</v>
      </c>
      <c r="D244" s="25">
        <f t="shared" si="22"/>
        <v>1243000</v>
      </c>
      <c r="E244" s="97">
        <v>0</v>
      </c>
      <c r="F244" s="97">
        <v>1243000</v>
      </c>
      <c r="G244" s="97">
        <v>0</v>
      </c>
      <c r="H244" s="98">
        <v>0</v>
      </c>
      <c r="I244" s="27">
        <f t="shared" si="24"/>
        <v>0</v>
      </c>
      <c r="J244" s="99">
        <v>0</v>
      </c>
      <c r="K244" s="26"/>
      <c r="L244" s="24">
        <v>0</v>
      </c>
      <c r="M244" s="299">
        <v>0</v>
      </c>
    </row>
    <row r="245" spans="1:13" ht="33.75" customHeight="1">
      <c r="A245" s="37"/>
      <c r="B245" s="3" t="s">
        <v>202</v>
      </c>
      <c r="C245" s="6" t="s">
        <v>210</v>
      </c>
      <c r="D245" s="25">
        <f aca="true" t="shared" si="25" ref="D245:M245">SUM(D246)</f>
        <v>4000</v>
      </c>
      <c r="E245" s="25">
        <f t="shared" si="25"/>
        <v>0</v>
      </c>
      <c r="F245" s="25">
        <f t="shared" si="25"/>
        <v>0</v>
      </c>
      <c r="G245" s="25">
        <f t="shared" si="25"/>
        <v>0</v>
      </c>
      <c r="H245" s="25">
        <f t="shared" si="25"/>
        <v>4000</v>
      </c>
      <c r="I245" s="27">
        <f t="shared" si="25"/>
        <v>0</v>
      </c>
      <c r="J245" s="99">
        <f t="shared" si="25"/>
        <v>0</v>
      </c>
      <c r="K245" s="99">
        <f t="shared" si="25"/>
        <v>0</v>
      </c>
      <c r="L245" s="99">
        <f t="shared" si="25"/>
        <v>0</v>
      </c>
      <c r="M245" s="99">
        <f t="shared" si="25"/>
        <v>0</v>
      </c>
    </row>
    <row r="246" spans="1:13" ht="33.75" customHeight="1">
      <c r="A246" s="37" t="s">
        <v>278</v>
      </c>
      <c r="B246" s="39" t="s">
        <v>403</v>
      </c>
      <c r="C246" s="23" t="s">
        <v>211</v>
      </c>
      <c r="D246" s="25">
        <f>SUM(E246:H246)</f>
        <v>4000</v>
      </c>
      <c r="E246" s="97">
        <v>0</v>
      </c>
      <c r="F246" s="97">
        <v>0</v>
      </c>
      <c r="G246" s="97">
        <v>0</v>
      </c>
      <c r="H246" s="98">
        <v>4000</v>
      </c>
      <c r="I246" s="27">
        <f aca="true" t="shared" si="26" ref="I246:I254">SUM(J246:M246)</f>
        <v>0</v>
      </c>
      <c r="J246" s="99">
        <v>0</v>
      </c>
      <c r="K246" s="26">
        <v>0</v>
      </c>
      <c r="L246" s="24">
        <v>0</v>
      </c>
      <c r="M246" s="299"/>
    </row>
    <row r="247" spans="1:14" ht="26.25" customHeight="1">
      <c r="A247" s="37"/>
      <c r="B247" s="3" t="s">
        <v>404</v>
      </c>
      <c r="C247" s="6" t="s">
        <v>97</v>
      </c>
      <c r="D247" s="38">
        <f t="shared" si="22"/>
        <v>263340</v>
      </c>
      <c r="E247" s="19">
        <f>SUM(E248:E250)</f>
        <v>60140</v>
      </c>
      <c r="F247" s="19">
        <f>SUM(F248:F250)</f>
        <v>100000</v>
      </c>
      <c r="G247" s="19">
        <f>SUM(G248:G250)</f>
        <v>0</v>
      </c>
      <c r="H247" s="19">
        <f>SUM(H248:H250)</f>
        <v>103200</v>
      </c>
      <c r="I247" s="20">
        <f t="shared" si="26"/>
        <v>0</v>
      </c>
      <c r="J247" s="19">
        <f>SUM(J248:J250)</f>
        <v>0</v>
      </c>
      <c r="K247" s="19">
        <f>SUM(K248:K250)</f>
        <v>0</v>
      </c>
      <c r="L247" s="19">
        <f>SUM(L248:L250)</f>
        <v>0</v>
      </c>
      <c r="M247" s="19">
        <f>SUM(M248:M250)</f>
        <v>0</v>
      </c>
      <c r="N247" s="327"/>
    </row>
    <row r="248" spans="1:14" ht="29.25" customHeight="1">
      <c r="A248" s="37" t="s">
        <v>278</v>
      </c>
      <c r="B248" s="22" t="s">
        <v>283</v>
      </c>
      <c r="C248" s="23" t="s">
        <v>596</v>
      </c>
      <c r="D248" s="25">
        <f t="shared" si="22"/>
        <v>30000</v>
      </c>
      <c r="E248" s="26">
        <v>0</v>
      </c>
      <c r="F248" s="26">
        <v>30000</v>
      </c>
      <c r="G248" s="26">
        <v>0</v>
      </c>
      <c r="H248" s="28">
        <v>0</v>
      </c>
      <c r="I248" s="27">
        <f t="shared" si="26"/>
        <v>0</v>
      </c>
      <c r="J248" s="71"/>
      <c r="K248" s="26"/>
      <c r="L248" s="24">
        <v>0</v>
      </c>
      <c r="M248" s="299">
        <v>0</v>
      </c>
      <c r="N248" s="327"/>
    </row>
    <row r="249" spans="1:13" ht="29.25" customHeight="1">
      <c r="A249" s="37" t="s">
        <v>280</v>
      </c>
      <c r="B249" s="22" t="s">
        <v>283</v>
      </c>
      <c r="C249" s="23" t="s">
        <v>227</v>
      </c>
      <c r="D249" s="25">
        <f t="shared" si="22"/>
        <v>70000</v>
      </c>
      <c r="E249" s="26">
        <v>0</v>
      </c>
      <c r="F249" s="26">
        <v>70000</v>
      </c>
      <c r="G249" s="26"/>
      <c r="H249" s="28"/>
      <c r="I249" s="27">
        <f t="shared" si="26"/>
        <v>0</v>
      </c>
      <c r="J249" s="71"/>
      <c r="K249" s="26"/>
      <c r="L249" s="24"/>
      <c r="M249" s="299"/>
    </row>
    <row r="250" spans="1:68" s="122" customFormat="1" ht="27" customHeight="1">
      <c r="A250" s="37" t="s">
        <v>282</v>
      </c>
      <c r="B250" s="39" t="s">
        <v>403</v>
      </c>
      <c r="C250" s="23" t="s">
        <v>203</v>
      </c>
      <c r="D250" s="25">
        <f>SUM(E250:H250)</f>
        <v>163340</v>
      </c>
      <c r="E250" s="26">
        <v>60140</v>
      </c>
      <c r="F250" s="83"/>
      <c r="G250" s="69">
        <v>0</v>
      </c>
      <c r="H250" s="70">
        <v>103200</v>
      </c>
      <c r="I250" s="27">
        <f t="shared" si="26"/>
        <v>0</v>
      </c>
      <c r="J250" s="71"/>
      <c r="K250" s="26"/>
      <c r="L250" s="24">
        <v>0</v>
      </c>
      <c r="M250" s="299"/>
      <c r="N250" s="138"/>
      <c r="O250" s="138"/>
      <c r="P250" s="13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s="122" customFormat="1" ht="29.25" customHeight="1">
      <c r="A251" s="6"/>
      <c r="B251" s="3" t="s">
        <v>406</v>
      </c>
      <c r="C251" s="6" t="s">
        <v>98</v>
      </c>
      <c r="D251" s="38">
        <f>SUM(E251:H251)</f>
        <v>25000</v>
      </c>
      <c r="E251" s="11">
        <f>SUM(E252:E252)</f>
        <v>0</v>
      </c>
      <c r="F251" s="38">
        <f>SUM(F252)</f>
        <v>25000</v>
      </c>
      <c r="G251" s="11">
        <f>SUM(G252:G252)</f>
        <v>0</v>
      </c>
      <c r="H251" s="12">
        <f>SUM(H252:H252)</f>
        <v>0</v>
      </c>
      <c r="I251" s="20">
        <f t="shared" si="26"/>
        <v>0</v>
      </c>
      <c r="J251" s="71">
        <f>SUM(J252:J252)</f>
        <v>0</v>
      </c>
      <c r="K251" s="26"/>
      <c r="L251" s="24">
        <f>SUM(L252:L252)</f>
        <v>0</v>
      </c>
      <c r="M251" s="299">
        <f>SUM(M252:M252)</f>
        <v>0</v>
      </c>
      <c r="N251" s="138"/>
      <c r="O251" s="138"/>
      <c r="P251" s="13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s="122" customFormat="1" ht="35.25" customHeight="1">
      <c r="A252" s="37" t="s">
        <v>278</v>
      </c>
      <c r="B252" s="39" t="s">
        <v>403</v>
      </c>
      <c r="C252" s="23" t="s">
        <v>571</v>
      </c>
      <c r="D252" s="25">
        <f>SUM(E252:H252)</f>
        <v>25000</v>
      </c>
      <c r="E252" s="26"/>
      <c r="F252" s="83">
        <v>25000</v>
      </c>
      <c r="G252" s="69">
        <v>0</v>
      </c>
      <c r="H252" s="70">
        <v>0</v>
      </c>
      <c r="I252" s="27">
        <f t="shared" si="26"/>
        <v>0</v>
      </c>
      <c r="J252" s="71"/>
      <c r="K252" s="26"/>
      <c r="L252" s="24">
        <v>0</v>
      </c>
      <c r="M252" s="299">
        <v>0</v>
      </c>
      <c r="N252" s="138"/>
      <c r="O252" s="138"/>
      <c r="P252" s="138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13" ht="33" customHeight="1">
      <c r="A253" s="37"/>
      <c r="B253" s="3" t="s">
        <v>446</v>
      </c>
      <c r="C253" s="6" t="s">
        <v>91</v>
      </c>
      <c r="D253" s="38">
        <f t="shared" si="22"/>
        <v>300000</v>
      </c>
      <c r="E253" s="19">
        <f>E254</f>
        <v>0</v>
      </c>
      <c r="F253" s="19">
        <f>F254</f>
        <v>300000</v>
      </c>
      <c r="G253" s="19">
        <f>G254</f>
        <v>0</v>
      </c>
      <c r="H253" s="89">
        <f>H254</f>
        <v>0</v>
      </c>
      <c r="I253" s="20">
        <f t="shared" si="26"/>
        <v>0</v>
      </c>
      <c r="J253" s="90">
        <f>J254</f>
        <v>0</v>
      </c>
      <c r="K253" s="90">
        <f>K254</f>
        <v>0</v>
      </c>
      <c r="L253" s="90">
        <f>L254</f>
        <v>0</v>
      </c>
      <c r="M253" s="317">
        <f>M254</f>
        <v>0</v>
      </c>
    </row>
    <row r="254" spans="1:13" ht="22.5" customHeight="1">
      <c r="A254" s="37" t="s">
        <v>278</v>
      </c>
      <c r="B254" s="39" t="s">
        <v>283</v>
      </c>
      <c r="C254" s="23" t="s">
        <v>598</v>
      </c>
      <c r="D254" s="25">
        <f t="shared" si="22"/>
        <v>300000</v>
      </c>
      <c r="E254" s="97">
        <v>0</v>
      </c>
      <c r="F254" s="97">
        <v>300000</v>
      </c>
      <c r="G254" s="97">
        <v>0</v>
      </c>
      <c r="H254" s="98">
        <v>0</v>
      </c>
      <c r="I254" s="27">
        <f t="shared" si="26"/>
        <v>0</v>
      </c>
      <c r="J254" s="99">
        <v>0</v>
      </c>
      <c r="K254" s="26"/>
      <c r="L254" s="24">
        <v>0</v>
      </c>
      <c r="M254" s="299">
        <v>0</v>
      </c>
    </row>
    <row r="259" ht="12.75">
      <c r="D259" s="328"/>
    </row>
    <row r="260" ht="12.75">
      <c r="D260" s="328"/>
    </row>
    <row r="278" spans="17:19" ht="12.75">
      <c r="Q278" s="138"/>
      <c r="R278" s="138"/>
      <c r="S278" s="138"/>
    </row>
    <row r="279" spans="17:19" ht="12.75">
      <c r="Q279" s="138"/>
      <c r="R279" s="138"/>
      <c r="S279" s="138"/>
    </row>
    <row r="280" spans="17:19" ht="12.75">
      <c r="Q280" s="138"/>
      <c r="R280" s="138"/>
      <c r="S280" s="138"/>
    </row>
    <row r="281" spans="17:19" ht="12.75">
      <c r="Q281" s="138"/>
      <c r="R281" s="138"/>
      <c r="S281" s="138"/>
    </row>
    <row r="282" spans="17:19" ht="12.75">
      <c r="Q282" s="138"/>
      <c r="R282" s="138"/>
      <c r="S282" s="138"/>
    </row>
    <row r="283" spans="17:19" ht="12.75">
      <c r="Q283" s="138"/>
      <c r="R283" s="138"/>
      <c r="S283" s="138"/>
    </row>
    <row r="284" spans="17:19" ht="12.75">
      <c r="Q284" s="138"/>
      <c r="R284" s="138"/>
      <c r="S284" s="138"/>
    </row>
    <row r="285" spans="2:70" s="328" customFormat="1" ht="12.75">
      <c r="B285" s="114"/>
      <c r="C285" s="329"/>
      <c r="L285" s="330"/>
      <c r="M285" s="293"/>
      <c r="N285" s="325"/>
      <c r="O285" s="138"/>
      <c r="P285" s="138"/>
      <c r="Q285" s="138"/>
      <c r="R285" s="138"/>
      <c r="S285" s="138"/>
      <c r="T285" s="325"/>
      <c r="U285" s="325"/>
      <c r="V285" s="325"/>
      <c r="W285" s="325"/>
      <c r="X285" s="325"/>
      <c r="Y285" s="325"/>
      <c r="Z285" s="325"/>
      <c r="AA285" s="325"/>
      <c r="AB285" s="325"/>
      <c r="AC285" s="325"/>
      <c r="AD285" s="325"/>
      <c r="AE285" s="325"/>
      <c r="AF285" s="325"/>
      <c r="AG285" s="325"/>
      <c r="AH285" s="325"/>
      <c r="AI285" s="325"/>
      <c r="AJ285" s="325"/>
      <c r="AK285" s="325"/>
      <c r="AL285" s="325"/>
      <c r="AM285" s="325"/>
      <c r="AN285" s="325"/>
      <c r="AO285" s="325"/>
      <c r="AP285" s="325"/>
      <c r="AQ285" s="325"/>
      <c r="AR285" s="325"/>
      <c r="AS285" s="325"/>
      <c r="AT285" s="325"/>
      <c r="AU285" s="325"/>
      <c r="AV285" s="325"/>
      <c r="AW285" s="325"/>
      <c r="AX285" s="325"/>
      <c r="AY285" s="325"/>
      <c r="AZ285" s="325"/>
      <c r="BA285" s="325"/>
      <c r="BB285" s="325"/>
      <c r="BC285" s="325"/>
      <c r="BD285" s="325"/>
      <c r="BE285" s="325"/>
      <c r="BF285" s="325"/>
      <c r="BG285" s="325"/>
      <c r="BH285" s="325"/>
      <c r="BI285" s="325"/>
      <c r="BJ285" s="325"/>
      <c r="BK285" s="325"/>
      <c r="BL285" s="325"/>
      <c r="BM285" s="325"/>
      <c r="BN285" s="325"/>
      <c r="BO285" s="325"/>
      <c r="BP285" s="325"/>
      <c r="BQ285" s="325"/>
      <c r="BR285" s="325"/>
    </row>
    <row r="286" spans="2:70" s="328" customFormat="1" ht="12.75">
      <c r="B286" s="114"/>
      <c r="C286" s="329"/>
      <c r="L286" s="330"/>
      <c r="M286" s="293"/>
      <c r="N286" s="325"/>
      <c r="O286" s="138"/>
      <c r="P286" s="138"/>
      <c r="Q286" s="138"/>
      <c r="R286" s="138"/>
      <c r="S286" s="138"/>
      <c r="T286" s="325"/>
      <c r="U286" s="325"/>
      <c r="V286" s="325"/>
      <c r="W286" s="325"/>
      <c r="X286" s="325"/>
      <c r="Y286" s="325"/>
      <c r="Z286" s="325"/>
      <c r="AA286" s="325"/>
      <c r="AB286" s="325"/>
      <c r="AC286" s="325"/>
      <c r="AD286" s="325"/>
      <c r="AE286" s="325"/>
      <c r="AF286" s="325"/>
      <c r="AG286" s="325"/>
      <c r="AH286" s="325"/>
      <c r="AI286" s="325"/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5"/>
      <c r="AW286" s="325"/>
      <c r="AX286" s="325"/>
      <c r="AY286" s="325"/>
      <c r="AZ286" s="325"/>
      <c r="BA286" s="325"/>
      <c r="BB286" s="325"/>
      <c r="BC286" s="325"/>
      <c r="BD286" s="325"/>
      <c r="BE286" s="325"/>
      <c r="BF286" s="325"/>
      <c r="BG286" s="325"/>
      <c r="BH286" s="325"/>
      <c r="BI286" s="325"/>
      <c r="BJ286" s="325"/>
      <c r="BK286" s="325"/>
      <c r="BL286" s="325"/>
      <c r="BM286" s="325"/>
      <c r="BN286" s="325"/>
      <c r="BO286" s="325"/>
      <c r="BP286" s="325"/>
      <c r="BQ286" s="325"/>
      <c r="BR286" s="325"/>
    </row>
    <row r="287" spans="2:70" s="328" customFormat="1" ht="12.75">
      <c r="B287" s="114"/>
      <c r="C287" s="329"/>
      <c r="L287" s="330"/>
      <c r="M287" s="293"/>
      <c r="N287" s="325"/>
      <c r="O287" s="138"/>
      <c r="P287" s="138"/>
      <c r="Q287" s="138"/>
      <c r="R287" s="138"/>
      <c r="S287" s="138"/>
      <c r="T287" s="325"/>
      <c r="U287" s="325"/>
      <c r="V287" s="325"/>
      <c r="W287" s="325"/>
      <c r="X287" s="325"/>
      <c r="Y287" s="325"/>
      <c r="Z287" s="325"/>
      <c r="AA287" s="325"/>
      <c r="AB287" s="325"/>
      <c r="AC287" s="325"/>
      <c r="AD287" s="325"/>
      <c r="AE287" s="325"/>
      <c r="AF287" s="325"/>
      <c r="AG287" s="325"/>
      <c r="AH287" s="325"/>
      <c r="AI287" s="325"/>
      <c r="AJ287" s="325"/>
      <c r="AK287" s="325"/>
      <c r="AL287" s="325"/>
      <c r="AM287" s="325"/>
      <c r="AN287" s="325"/>
      <c r="AO287" s="325"/>
      <c r="AP287" s="325"/>
      <c r="AQ287" s="325"/>
      <c r="AR287" s="325"/>
      <c r="AS287" s="325"/>
      <c r="AT287" s="325"/>
      <c r="AU287" s="325"/>
      <c r="AV287" s="325"/>
      <c r="AW287" s="325"/>
      <c r="AX287" s="325"/>
      <c r="AY287" s="325"/>
      <c r="AZ287" s="325"/>
      <c r="BA287" s="325"/>
      <c r="BB287" s="325"/>
      <c r="BC287" s="325"/>
      <c r="BD287" s="325"/>
      <c r="BE287" s="325"/>
      <c r="BF287" s="325"/>
      <c r="BG287" s="325"/>
      <c r="BH287" s="325"/>
      <c r="BI287" s="325"/>
      <c r="BJ287" s="325"/>
      <c r="BK287" s="325"/>
      <c r="BL287" s="325"/>
      <c r="BM287" s="325"/>
      <c r="BN287" s="325"/>
      <c r="BO287" s="325"/>
      <c r="BP287" s="325"/>
      <c r="BQ287" s="325"/>
      <c r="BR287" s="325"/>
    </row>
    <row r="288" spans="2:70" s="328" customFormat="1" ht="12.75">
      <c r="B288" s="114"/>
      <c r="C288" s="329"/>
      <c r="L288" s="330"/>
      <c r="M288" s="293"/>
      <c r="N288" s="325"/>
      <c r="O288" s="138"/>
      <c r="P288" s="138"/>
      <c r="Q288" s="138"/>
      <c r="R288" s="138"/>
      <c r="S288" s="138"/>
      <c r="T288" s="325"/>
      <c r="U288" s="325"/>
      <c r="V288" s="325"/>
      <c r="W288" s="325"/>
      <c r="X288" s="325"/>
      <c r="Y288" s="325"/>
      <c r="Z288" s="325"/>
      <c r="AA288" s="325"/>
      <c r="AB288" s="325"/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25"/>
      <c r="AM288" s="325"/>
      <c r="AN288" s="325"/>
      <c r="AO288" s="325"/>
      <c r="AP288" s="325"/>
      <c r="AQ288" s="325"/>
      <c r="AR288" s="325"/>
      <c r="AS288" s="325"/>
      <c r="AT288" s="325"/>
      <c r="AU288" s="325"/>
      <c r="AV288" s="325"/>
      <c r="AW288" s="325"/>
      <c r="AX288" s="325"/>
      <c r="AY288" s="325"/>
      <c r="AZ288" s="325"/>
      <c r="BA288" s="325"/>
      <c r="BB288" s="325"/>
      <c r="BC288" s="325"/>
      <c r="BD288" s="325"/>
      <c r="BE288" s="325"/>
      <c r="BF288" s="325"/>
      <c r="BG288" s="325"/>
      <c r="BH288" s="325"/>
      <c r="BI288" s="325"/>
      <c r="BJ288" s="325"/>
      <c r="BK288" s="325"/>
      <c r="BL288" s="325"/>
      <c r="BM288" s="325"/>
      <c r="BN288" s="325"/>
      <c r="BO288" s="325"/>
      <c r="BP288" s="325"/>
      <c r="BQ288" s="325"/>
      <c r="BR288" s="325"/>
    </row>
    <row r="289" spans="2:70" s="328" customFormat="1" ht="12.75">
      <c r="B289" s="114"/>
      <c r="C289" s="329"/>
      <c r="L289" s="330"/>
      <c r="M289" s="293"/>
      <c r="N289" s="325"/>
      <c r="O289" s="138"/>
      <c r="P289" s="138"/>
      <c r="Q289" s="138"/>
      <c r="R289" s="138"/>
      <c r="S289" s="138"/>
      <c r="T289" s="325"/>
      <c r="U289" s="325"/>
      <c r="V289" s="325"/>
      <c r="W289" s="325"/>
      <c r="X289" s="325"/>
      <c r="Y289" s="325"/>
      <c r="Z289" s="325"/>
      <c r="AA289" s="325"/>
      <c r="AB289" s="325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25"/>
      <c r="AM289" s="325"/>
      <c r="AN289" s="325"/>
      <c r="AO289" s="325"/>
      <c r="AP289" s="325"/>
      <c r="AQ289" s="325"/>
      <c r="AR289" s="325"/>
      <c r="AS289" s="325"/>
      <c r="AT289" s="325"/>
      <c r="AU289" s="325"/>
      <c r="AV289" s="325"/>
      <c r="AW289" s="325"/>
      <c r="AX289" s="325"/>
      <c r="AY289" s="325"/>
      <c r="AZ289" s="325"/>
      <c r="BA289" s="325"/>
      <c r="BB289" s="325"/>
      <c r="BC289" s="325"/>
      <c r="BD289" s="325"/>
      <c r="BE289" s="325"/>
      <c r="BF289" s="325"/>
      <c r="BG289" s="325"/>
      <c r="BH289" s="325"/>
      <c r="BI289" s="325"/>
      <c r="BJ289" s="325"/>
      <c r="BK289" s="325"/>
      <c r="BL289" s="325"/>
      <c r="BM289" s="325"/>
      <c r="BN289" s="325"/>
      <c r="BO289" s="325"/>
      <c r="BP289" s="325"/>
      <c r="BQ289" s="325"/>
      <c r="BR289" s="325"/>
    </row>
    <row r="290" spans="2:70" s="328" customFormat="1" ht="12.75">
      <c r="B290" s="114"/>
      <c r="C290" s="329"/>
      <c r="L290" s="330"/>
      <c r="M290" s="293"/>
      <c r="N290" s="325"/>
      <c r="O290" s="138"/>
      <c r="P290" s="138"/>
      <c r="Q290" s="138"/>
      <c r="R290" s="138"/>
      <c r="S290" s="138"/>
      <c r="T290" s="325"/>
      <c r="U290" s="325"/>
      <c r="V290" s="325"/>
      <c r="W290" s="325"/>
      <c r="X290" s="325"/>
      <c r="Y290" s="325"/>
      <c r="Z290" s="325"/>
      <c r="AA290" s="325"/>
      <c r="AB290" s="325"/>
      <c r="AC290" s="325"/>
      <c r="AD290" s="325"/>
      <c r="AE290" s="325"/>
      <c r="AF290" s="325"/>
      <c r="AG290" s="325"/>
      <c r="AH290" s="325"/>
      <c r="AI290" s="325"/>
      <c r="AJ290" s="325"/>
      <c r="AK290" s="325"/>
      <c r="AL290" s="325"/>
      <c r="AM290" s="325"/>
      <c r="AN290" s="325"/>
      <c r="AO290" s="325"/>
      <c r="AP290" s="325"/>
      <c r="AQ290" s="325"/>
      <c r="AR290" s="325"/>
      <c r="AS290" s="325"/>
      <c r="AT290" s="325"/>
      <c r="AU290" s="325"/>
      <c r="AV290" s="325"/>
      <c r="AW290" s="325"/>
      <c r="AX290" s="325"/>
      <c r="AY290" s="325"/>
      <c r="AZ290" s="325"/>
      <c r="BA290" s="325"/>
      <c r="BB290" s="325"/>
      <c r="BC290" s="325"/>
      <c r="BD290" s="325"/>
      <c r="BE290" s="325"/>
      <c r="BF290" s="325"/>
      <c r="BG290" s="325"/>
      <c r="BH290" s="325"/>
      <c r="BI290" s="325"/>
      <c r="BJ290" s="325"/>
      <c r="BK290" s="325"/>
      <c r="BL290" s="325"/>
      <c r="BM290" s="325"/>
      <c r="BN290" s="325"/>
      <c r="BO290" s="325"/>
      <c r="BP290" s="325"/>
      <c r="BQ290" s="325"/>
      <c r="BR290" s="325"/>
    </row>
    <row r="291" spans="2:70" s="328" customFormat="1" ht="12.75">
      <c r="B291" s="114"/>
      <c r="C291" s="329"/>
      <c r="L291" s="330"/>
      <c r="M291" s="293"/>
      <c r="N291" s="325"/>
      <c r="O291" s="138"/>
      <c r="P291" s="138"/>
      <c r="Q291" s="138"/>
      <c r="R291" s="138"/>
      <c r="S291" s="138"/>
      <c r="T291" s="325"/>
      <c r="U291" s="325"/>
      <c r="V291" s="325"/>
      <c r="W291" s="325"/>
      <c r="X291" s="325"/>
      <c r="Y291" s="325"/>
      <c r="Z291" s="325"/>
      <c r="AA291" s="325"/>
      <c r="AB291" s="325"/>
      <c r="AC291" s="325"/>
      <c r="AD291" s="325"/>
      <c r="AE291" s="325"/>
      <c r="AF291" s="325"/>
      <c r="AG291" s="325"/>
      <c r="AH291" s="325"/>
      <c r="AI291" s="325"/>
      <c r="AJ291" s="325"/>
      <c r="AK291" s="325"/>
      <c r="AL291" s="325"/>
      <c r="AM291" s="325"/>
      <c r="AN291" s="325"/>
      <c r="AO291" s="325"/>
      <c r="AP291" s="325"/>
      <c r="AQ291" s="325"/>
      <c r="AR291" s="325"/>
      <c r="AS291" s="325"/>
      <c r="AT291" s="325"/>
      <c r="AU291" s="325"/>
      <c r="AV291" s="325"/>
      <c r="AW291" s="325"/>
      <c r="AX291" s="325"/>
      <c r="AY291" s="325"/>
      <c r="AZ291" s="325"/>
      <c r="BA291" s="325"/>
      <c r="BB291" s="325"/>
      <c r="BC291" s="325"/>
      <c r="BD291" s="325"/>
      <c r="BE291" s="325"/>
      <c r="BF291" s="325"/>
      <c r="BG291" s="325"/>
      <c r="BH291" s="325"/>
      <c r="BI291" s="325"/>
      <c r="BJ291" s="325"/>
      <c r="BK291" s="325"/>
      <c r="BL291" s="325"/>
      <c r="BM291" s="325"/>
      <c r="BN291" s="325"/>
      <c r="BO291" s="325"/>
      <c r="BP291" s="325"/>
      <c r="BQ291" s="325"/>
      <c r="BR291" s="325"/>
    </row>
    <row r="292" spans="2:70" s="328" customFormat="1" ht="12.75">
      <c r="B292" s="114"/>
      <c r="C292" s="329"/>
      <c r="L292" s="330"/>
      <c r="M292" s="293"/>
      <c r="N292" s="325"/>
      <c r="O292" s="138"/>
      <c r="P292" s="138"/>
      <c r="Q292" s="138"/>
      <c r="R292" s="138"/>
      <c r="S292" s="138"/>
      <c r="T292" s="325"/>
      <c r="U292" s="325"/>
      <c r="V292" s="325"/>
      <c r="W292" s="325"/>
      <c r="X292" s="325"/>
      <c r="Y292" s="325"/>
      <c r="Z292" s="325"/>
      <c r="AA292" s="325"/>
      <c r="AB292" s="325"/>
      <c r="AC292" s="325"/>
      <c r="AD292" s="325"/>
      <c r="AE292" s="325"/>
      <c r="AF292" s="325"/>
      <c r="AG292" s="325"/>
      <c r="AH292" s="325"/>
      <c r="AI292" s="325"/>
      <c r="AJ292" s="325"/>
      <c r="AK292" s="325"/>
      <c r="AL292" s="325"/>
      <c r="AM292" s="325"/>
      <c r="AN292" s="325"/>
      <c r="AO292" s="325"/>
      <c r="AP292" s="325"/>
      <c r="AQ292" s="325"/>
      <c r="AR292" s="325"/>
      <c r="AS292" s="325"/>
      <c r="AT292" s="325"/>
      <c r="AU292" s="325"/>
      <c r="AV292" s="325"/>
      <c r="AW292" s="325"/>
      <c r="AX292" s="325"/>
      <c r="AY292" s="325"/>
      <c r="AZ292" s="325"/>
      <c r="BA292" s="325"/>
      <c r="BB292" s="325"/>
      <c r="BC292" s="325"/>
      <c r="BD292" s="325"/>
      <c r="BE292" s="325"/>
      <c r="BF292" s="325"/>
      <c r="BG292" s="325"/>
      <c r="BH292" s="325"/>
      <c r="BI292" s="325"/>
      <c r="BJ292" s="325"/>
      <c r="BK292" s="325"/>
      <c r="BL292" s="325"/>
      <c r="BM292" s="325"/>
      <c r="BN292" s="325"/>
      <c r="BO292" s="325"/>
      <c r="BP292" s="325"/>
      <c r="BQ292" s="325"/>
      <c r="BR292" s="325"/>
    </row>
    <row r="293" spans="2:70" s="328" customFormat="1" ht="12.75">
      <c r="B293" s="114"/>
      <c r="C293" s="329"/>
      <c r="L293" s="330"/>
      <c r="M293" s="293"/>
      <c r="N293" s="325"/>
      <c r="O293" s="138"/>
      <c r="P293" s="138"/>
      <c r="Q293" s="138"/>
      <c r="R293" s="138"/>
      <c r="S293" s="138"/>
      <c r="T293" s="325"/>
      <c r="U293" s="325"/>
      <c r="V293" s="325"/>
      <c r="W293" s="325"/>
      <c r="X293" s="325"/>
      <c r="Y293" s="325"/>
      <c r="Z293" s="325"/>
      <c r="AA293" s="325"/>
      <c r="AB293" s="325"/>
      <c r="AC293" s="325"/>
      <c r="AD293" s="325"/>
      <c r="AE293" s="325"/>
      <c r="AF293" s="325"/>
      <c r="AG293" s="325"/>
      <c r="AH293" s="325"/>
      <c r="AI293" s="325"/>
      <c r="AJ293" s="325"/>
      <c r="AK293" s="325"/>
      <c r="AL293" s="325"/>
      <c r="AM293" s="325"/>
      <c r="AN293" s="325"/>
      <c r="AO293" s="325"/>
      <c r="AP293" s="325"/>
      <c r="AQ293" s="325"/>
      <c r="AR293" s="325"/>
      <c r="AS293" s="325"/>
      <c r="AT293" s="325"/>
      <c r="AU293" s="325"/>
      <c r="AV293" s="325"/>
      <c r="AW293" s="325"/>
      <c r="AX293" s="325"/>
      <c r="AY293" s="325"/>
      <c r="AZ293" s="325"/>
      <c r="BA293" s="325"/>
      <c r="BB293" s="325"/>
      <c r="BC293" s="325"/>
      <c r="BD293" s="325"/>
      <c r="BE293" s="325"/>
      <c r="BF293" s="325"/>
      <c r="BG293" s="325"/>
      <c r="BH293" s="325"/>
      <c r="BI293" s="325"/>
      <c r="BJ293" s="325"/>
      <c r="BK293" s="325"/>
      <c r="BL293" s="325"/>
      <c r="BM293" s="325"/>
      <c r="BN293" s="325"/>
      <c r="BO293" s="325"/>
      <c r="BP293" s="325"/>
      <c r="BQ293" s="325"/>
      <c r="BR293" s="325"/>
    </row>
    <row r="294" spans="2:70" s="328" customFormat="1" ht="12.75">
      <c r="B294" s="114"/>
      <c r="C294" s="329"/>
      <c r="L294" s="330"/>
      <c r="M294" s="293"/>
      <c r="N294" s="325"/>
      <c r="O294" s="138"/>
      <c r="P294" s="138"/>
      <c r="Q294" s="138"/>
      <c r="R294" s="138"/>
      <c r="S294" s="138"/>
      <c r="T294" s="325"/>
      <c r="U294" s="325"/>
      <c r="V294" s="325"/>
      <c r="W294" s="325"/>
      <c r="X294" s="325"/>
      <c r="Y294" s="325"/>
      <c r="Z294" s="325"/>
      <c r="AA294" s="325"/>
      <c r="AB294" s="325"/>
      <c r="AC294" s="325"/>
      <c r="AD294" s="325"/>
      <c r="AE294" s="325"/>
      <c r="AF294" s="325"/>
      <c r="AG294" s="325"/>
      <c r="AH294" s="325"/>
      <c r="AI294" s="325"/>
      <c r="AJ294" s="325"/>
      <c r="AK294" s="325"/>
      <c r="AL294" s="325"/>
      <c r="AM294" s="325"/>
      <c r="AN294" s="325"/>
      <c r="AO294" s="325"/>
      <c r="AP294" s="325"/>
      <c r="AQ294" s="325"/>
      <c r="AR294" s="325"/>
      <c r="AS294" s="325"/>
      <c r="AT294" s="325"/>
      <c r="AU294" s="325"/>
      <c r="AV294" s="325"/>
      <c r="AW294" s="325"/>
      <c r="AX294" s="325"/>
      <c r="AY294" s="325"/>
      <c r="AZ294" s="325"/>
      <c r="BA294" s="325"/>
      <c r="BB294" s="325"/>
      <c r="BC294" s="325"/>
      <c r="BD294" s="325"/>
      <c r="BE294" s="325"/>
      <c r="BF294" s="325"/>
      <c r="BG294" s="325"/>
      <c r="BH294" s="325"/>
      <c r="BI294" s="325"/>
      <c r="BJ294" s="325"/>
      <c r="BK294" s="325"/>
      <c r="BL294" s="325"/>
      <c r="BM294" s="325"/>
      <c r="BN294" s="325"/>
      <c r="BO294" s="325"/>
      <c r="BP294" s="325"/>
      <c r="BQ294" s="325"/>
      <c r="BR294" s="325"/>
    </row>
    <row r="295" spans="2:70" s="328" customFormat="1" ht="12.75">
      <c r="B295" s="114"/>
      <c r="C295" s="329"/>
      <c r="L295" s="330"/>
      <c r="M295" s="293"/>
      <c r="N295" s="325"/>
      <c r="O295" s="138"/>
      <c r="P295" s="138"/>
      <c r="Q295" s="138"/>
      <c r="R295" s="138"/>
      <c r="S295" s="138"/>
      <c r="T295" s="325"/>
      <c r="U295" s="325"/>
      <c r="V295" s="325"/>
      <c r="W295" s="325"/>
      <c r="X295" s="325"/>
      <c r="Y295" s="325"/>
      <c r="Z295" s="325"/>
      <c r="AA295" s="325"/>
      <c r="AB295" s="325"/>
      <c r="AC295" s="325"/>
      <c r="AD295" s="325"/>
      <c r="AE295" s="325"/>
      <c r="AF295" s="325"/>
      <c r="AG295" s="325"/>
      <c r="AH295" s="325"/>
      <c r="AI295" s="325"/>
      <c r="AJ295" s="325"/>
      <c r="AK295" s="325"/>
      <c r="AL295" s="325"/>
      <c r="AM295" s="325"/>
      <c r="AN295" s="325"/>
      <c r="AO295" s="325"/>
      <c r="AP295" s="325"/>
      <c r="AQ295" s="325"/>
      <c r="AR295" s="325"/>
      <c r="AS295" s="325"/>
      <c r="AT295" s="325"/>
      <c r="AU295" s="325"/>
      <c r="AV295" s="325"/>
      <c r="AW295" s="325"/>
      <c r="AX295" s="325"/>
      <c r="AY295" s="325"/>
      <c r="AZ295" s="325"/>
      <c r="BA295" s="325"/>
      <c r="BB295" s="325"/>
      <c r="BC295" s="325"/>
      <c r="BD295" s="325"/>
      <c r="BE295" s="325"/>
      <c r="BF295" s="325"/>
      <c r="BG295" s="325"/>
      <c r="BH295" s="325"/>
      <c r="BI295" s="325"/>
      <c r="BJ295" s="325"/>
      <c r="BK295" s="325"/>
      <c r="BL295" s="325"/>
      <c r="BM295" s="325"/>
      <c r="BN295" s="325"/>
      <c r="BO295" s="325"/>
      <c r="BP295" s="325"/>
      <c r="BQ295" s="325"/>
      <c r="BR295" s="325"/>
    </row>
    <row r="296" spans="2:70" s="328" customFormat="1" ht="12.75">
      <c r="B296" s="114"/>
      <c r="C296" s="329"/>
      <c r="L296" s="330"/>
      <c r="M296" s="293"/>
      <c r="N296" s="325"/>
      <c r="O296" s="138"/>
      <c r="P296" s="138"/>
      <c r="Q296" s="138"/>
      <c r="R296" s="138"/>
      <c r="S296" s="138"/>
      <c r="T296" s="325"/>
      <c r="U296" s="325"/>
      <c r="V296" s="325"/>
      <c r="W296" s="325"/>
      <c r="X296" s="325"/>
      <c r="Y296" s="325"/>
      <c r="Z296" s="325"/>
      <c r="AA296" s="325"/>
      <c r="AB296" s="325"/>
      <c r="AC296" s="325"/>
      <c r="AD296" s="325"/>
      <c r="AE296" s="325"/>
      <c r="AF296" s="325"/>
      <c r="AG296" s="325"/>
      <c r="AH296" s="325"/>
      <c r="AI296" s="325"/>
      <c r="AJ296" s="325"/>
      <c r="AK296" s="325"/>
      <c r="AL296" s="325"/>
      <c r="AM296" s="325"/>
      <c r="AN296" s="325"/>
      <c r="AO296" s="325"/>
      <c r="AP296" s="325"/>
      <c r="AQ296" s="325"/>
      <c r="AR296" s="325"/>
      <c r="AS296" s="325"/>
      <c r="AT296" s="325"/>
      <c r="AU296" s="325"/>
      <c r="AV296" s="325"/>
      <c r="AW296" s="325"/>
      <c r="AX296" s="325"/>
      <c r="AY296" s="325"/>
      <c r="AZ296" s="325"/>
      <c r="BA296" s="325"/>
      <c r="BB296" s="325"/>
      <c r="BC296" s="325"/>
      <c r="BD296" s="325"/>
      <c r="BE296" s="325"/>
      <c r="BF296" s="325"/>
      <c r="BG296" s="325"/>
      <c r="BH296" s="325"/>
      <c r="BI296" s="325"/>
      <c r="BJ296" s="325"/>
      <c r="BK296" s="325"/>
      <c r="BL296" s="325"/>
      <c r="BM296" s="325"/>
      <c r="BN296" s="325"/>
      <c r="BO296" s="325"/>
      <c r="BP296" s="325"/>
      <c r="BQ296" s="325"/>
      <c r="BR296" s="325"/>
    </row>
    <row r="297" spans="2:70" s="328" customFormat="1" ht="12.75">
      <c r="B297" s="114"/>
      <c r="C297" s="329"/>
      <c r="L297" s="330"/>
      <c r="M297" s="293"/>
      <c r="N297" s="325"/>
      <c r="O297" s="138"/>
      <c r="P297" s="138"/>
      <c r="Q297" s="138"/>
      <c r="R297" s="138"/>
      <c r="S297" s="138"/>
      <c r="T297" s="325"/>
      <c r="U297" s="325"/>
      <c r="V297" s="325"/>
      <c r="W297" s="325"/>
      <c r="X297" s="325"/>
      <c r="Y297" s="325"/>
      <c r="Z297" s="325"/>
      <c r="AA297" s="325"/>
      <c r="AB297" s="325"/>
      <c r="AC297" s="325"/>
      <c r="AD297" s="325"/>
      <c r="AE297" s="325"/>
      <c r="AF297" s="325"/>
      <c r="AG297" s="325"/>
      <c r="AH297" s="325"/>
      <c r="AI297" s="325"/>
      <c r="AJ297" s="325"/>
      <c r="AK297" s="325"/>
      <c r="AL297" s="325"/>
      <c r="AM297" s="325"/>
      <c r="AN297" s="325"/>
      <c r="AO297" s="325"/>
      <c r="AP297" s="325"/>
      <c r="AQ297" s="325"/>
      <c r="AR297" s="325"/>
      <c r="AS297" s="325"/>
      <c r="AT297" s="325"/>
      <c r="AU297" s="325"/>
      <c r="AV297" s="325"/>
      <c r="AW297" s="325"/>
      <c r="AX297" s="325"/>
      <c r="AY297" s="325"/>
      <c r="AZ297" s="325"/>
      <c r="BA297" s="325"/>
      <c r="BB297" s="325"/>
      <c r="BC297" s="325"/>
      <c r="BD297" s="325"/>
      <c r="BE297" s="325"/>
      <c r="BF297" s="325"/>
      <c r="BG297" s="325"/>
      <c r="BH297" s="325"/>
      <c r="BI297" s="325"/>
      <c r="BJ297" s="325"/>
      <c r="BK297" s="325"/>
      <c r="BL297" s="325"/>
      <c r="BM297" s="325"/>
      <c r="BN297" s="325"/>
      <c r="BO297" s="325"/>
      <c r="BP297" s="325"/>
      <c r="BQ297" s="325"/>
      <c r="BR297" s="325"/>
    </row>
    <row r="298" spans="2:70" s="328" customFormat="1" ht="12.75">
      <c r="B298" s="114"/>
      <c r="C298" s="329"/>
      <c r="L298" s="330"/>
      <c r="M298" s="293"/>
      <c r="N298" s="325"/>
      <c r="O298" s="138"/>
      <c r="P298" s="138"/>
      <c r="Q298" s="138"/>
      <c r="R298" s="138"/>
      <c r="S298" s="138"/>
      <c r="T298" s="325"/>
      <c r="U298" s="325"/>
      <c r="V298" s="325"/>
      <c r="W298" s="325"/>
      <c r="X298" s="325"/>
      <c r="Y298" s="325"/>
      <c r="Z298" s="325"/>
      <c r="AA298" s="325"/>
      <c r="AB298" s="325"/>
      <c r="AC298" s="325"/>
      <c r="AD298" s="325"/>
      <c r="AE298" s="325"/>
      <c r="AF298" s="325"/>
      <c r="AG298" s="325"/>
      <c r="AH298" s="325"/>
      <c r="AI298" s="325"/>
      <c r="AJ298" s="325"/>
      <c r="AK298" s="325"/>
      <c r="AL298" s="325"/>
      <c r="AM298" s="325"/>
      <c r="AN298" s="325"/>
      <c r="AO298" s="325"/>
      <c r="AP298" s="325"/>
      <c r="AQ298" s="325"/>
      <c r="AR298" s="325"/>
      <c r="AS298" s="325"/>
      <c r="AT298" s="325"/>
      <c r="AU298" s="325"/>
      <c r="AV298" s="325"/>
      <c r="AW298" s="325"/>
      <c r="AX298" s="325"/>
      <c r="AY298" s="325"/>
      <c r="AZ298" s="325"/>
      <c r="BA298" s="325"/>
      <c r="BB298" s="325"/>
      <c r="BC298" s="325"/>
      <c r="BD298" s="325"/>
      <c r="BE298" s="325"/>
      <c r="BF298" s="325"/>
      <c r="BG298" s="325"/>
      <c r="BH298" s="325"/>
      <c r="BI298" s="325"/>
      <c r="BJ298" s="325"/>
      <c r="BK298" s="325"/>
      <c r="BL298" s="325"/>
      <c r="BM298" s="325"/>
      <c r="BN298" s="325"/>
      <c r="BO298" s="325"/>
      <c r="BP298" s="325"/>
      <c r="BQ298" s="325"/>
      <c r="BR298" s="325"/>
    </row>
    <row r="299" spans="2:70" s="328" customFormat="1" ht="12.75">
      <c r="B299" s="114"/>
      <c r="C299" s="329"/>
      <c r="L299" s="330"/>
      <c r="M299" s="293"/>
      <c r="N299" s="325"/>
      <c r="O299" s="138"/>
      <c r="P299" s="138"/>
      <c r="Q299" s="138"/>
      <c r="R299" s="138"/>
      <c r="S299" s="138"/>
      <c r="T299" s="325"/>
      <c r="U299" s="325"/>
      <c r="V299" s="325"/>
      <c r="W299" s="325"/>
      <c r="X299" s="325"/>
      <c r="Y299" s="325"/>
      <c r="Z299" s="325"/>
      <c r="AA299" s="325"/>
      <c r="AB299" s="325"/>
      <c r="AC299" s="325"/>
      <c r="AD299" s="325"/>
      <c r="AE299" s="325"/>
      <c r="AF299" s="325"/>
      <c r="AG299" s="325"/>
      <c r="AH299" s="325"/>
      <c r="AI299" s="325"/>
      <c r="AJ299" s="325"/>
      <c r="AK299" s="325"/>
      <c r="AL299" s="325"/>
      <c r="AM299" s="325"/>
      <c r="AN299" s="325"/>
      <c r="AO299" s="325"/>
      <c r="AP299" s="325"/>
      <c r="AQ299" s="325"/>
      <c r="AR299" s="325"/>
      <c r="AS299" s="325"/>
      <c r="AT299" s="325"/>
      <c r="AU299" s="325"/>
      <c r="AV299" s="325"/>
      <c r="AW299" s="325"/>
      <c r="AX299" s="325"/>
      <c r="AY299" s="325"/>
      <c r="AZ299" s="325"/>
      <c r="BA299" s="325"/>
      <c r="BB299" s="325"/>
      <c r="BC299" s="325"/>
      <c r="BD299" s="325"/>
      <c r="BE299" s="325"/>
      <c r="BF299" s="325"/>
      <c r="BG299" s="325"/>
      <c r="BH299" s="325"/>
      <c r="BI299" s="325"/>
      <c r="BJ299" s="325"/>
      <c r="BK299" s="325"/>
      <c r="BL299" s="325"/>
      <c r="BM299" s="325"/>
      <c r="BN299" s="325"/>
      <c r="BO299" s="325"/>
      <c r="BP299" s="325"/>
      <c r="BQ299" s="325"/>
      <c r="BR299" s="325"/>
    </row>
    <row r="300" spans="2:70" s="328" customFormat="1" ht="12.75">
      <c r="B300" s="114"/>
      <c r="C300" s="329"/>
      <c r="L300" s="330"/>
      <c r="M300" s="293"/>
      <c r="N300" s="325"/>
      <c r="O300" s="138"/>
      <c r="P300" s="138"/>
      <c r="Q300" s="138"/>
      <c r="R300" s="138"/>
      <c r="S300" s="138"/>
      <c r="T300" s="325"/>
      <c r="U300" s="325"/>
      <c r="V300" s="325"/>
      <c r="W300" s="325"/>
      <c r="X300" s="325"/>
      <c r="Y300" s="325"/>
      <c r="Z300" s="325"/>
      <c r="AA300" s="325"/>
      <c r="AB300" s="325"/>
      <c r="AC300" s="325"/>
      <c r="AD300" s="325"/>
      <c r="AE300" s="325"/>
      <c r="AF300" s="325"/>
      <c r="AG300" s="325"/>
      <c r="AH300" s="325"/>
      <c r="AI300" s="325"/>
      <c r="AJ300" s="325"/>
      <c r="AK300" s="325"/>
      <c r="AL300" s="325"/>
      <c r="AM300" s="325"/>
      <c r="AN300" s="325"/>
      <c r="AO300" s="325"/>
      <c r="AP300" s="325"/>
      <c r="AQ300" s="325"/>
      <c r="AR300" s="325"/>
      <c r="AS300" s="325"/>
      <c r="AT300" s="325"/>
      <c r="AU300" s="325"/>
      <c r="AV300" s="325"/>
      <c r="AW300" s="325"/>
      <c r="AX300" s="325"/>
      <c r="AY300" s="325"/>
      <c r="AZ300" s="325"/>
      <c r="BA300" s="325"/>
      <c r="BB300" s="325"/>
      <c r="BC300" s="325"/>
      <c r="BD300" s="325"/>
      <c r="BE300" s="325"/>
      <c r="BF300" s="325"/>
      <c r="BG300" s="325"/>
      <c r="BH300" s="325"/>
      <c r="BI300" s="325"/>
      <c r="BJ300" s="325"/>
      <c r="BK300" s="325"/>
      <c r="BL300" s="325"/>
      <c r="BM300" s="325"/>
      <c r="BN300" s="325"/>
      <c r="BO300" s="325"/>
      <c r="BP300" s="325"/>
      <c r="BQ300" s="325"/>
      <c r="BR300" s="325"/>
    </row>
    <row r="301" spans="2:70" s="328" customFormat="1" ht="12.75">
      <c r="B301" s="114"/>
      <c r="C301" s="329"/>
      <c r="L301" s="330"/>
      <c r="M301" s="293"/>
      <c r="N301" s="325"/>
      <c r="O301" s="138"/>
      <c r="P301" s="138"/>
      <c r="Q301" s="138"/>
      <c r="R301" s="138"/>
      <c r="S301" s="138"/>
      <c r="T301" s="325"/>
      <c r="U301" s="325"/>
      <c r="V301" s="325"/>
      <c r="W301" s="325"/>
      <c r="X301" s="325"/>
      <c r="Y301" s="325"/>
      <c r="Z301" s="325"/>
      <c r="AA301" s="325"/>
      <c r="AB301" s="325"/>
      <c r="AC301" s="325"/>
      <c r="AD301" s="325"/>
      <c r="AE301" s="325"/>
      <c r="AF301" s="325"/>
      <c r="AG301" s="325"/>
      <c r="AH301" s="325"/>
      <c r="AI301" s="325"/>
      <c r="AJ301" s="325"/>
      <c r="AK301" s="325"/>
      <c r="AL301" s="325"/>
      <c r="AM301" s="325"/>
      <c r="AN301" s="325"/>
      <c r="AO301" s="325"/>
      <c r="AP301" s="325"/>
      <c r="AQ301" s="325"/>
      <c r="AR301" s="325"/>
      <c r="AS301" s="325"/>
      <c r="AT301" s="325"/>
      <c r="AU301" s="325"/>
      <c r="AV301" s="325"/>
      <c r="AW301" s="325"/>
      <c r="AX301" s="325"/>
      <c r="AY301" s="325"/>
      <c r="AZ301" s="325"/>
      <c r="BA301" s="325"/>
      <c r="BB301" s="325"/>
      <c r="BC301" s="325"/>
      <c r="BD301" s="325"/>
      <c r="BE301" s="325"/>
      <c r="BF301" s="325"/>
      <c r="BG301" s="325"/>
      <c r="BH301" s="325"/>
      <c r="BI301" s="325"/>
      <c r="BJ301" s="325"/>
      <c r="BK301" s="325"/>
      <c r="BL301" s="325"/>
      <c r="BM301" s="325"/>
      <c r="BN301" s="325"/>
      <c r="BO301" s="325"/>
      <c r="BP301" s="325"/>
      <c r="BQ301" s="325"/>
      <c r="BR301" s="325"/>
    </row>
    <row r="302" spans="2:70" s="328" customFormat="1" ht="12.75">
      <c r="B302" s="114"/>
      <c r="C302" s="329"/>
      <c r="L302" s="330"/>
      <c r="M302" s="293"/>
      <c r="N302" s="325"/>
      <c r="O302" s="138"/>
      <c r="P302" s="138"/>
      <c r="Q302" s="138"/>
      <c r="R302" s="138"/>
      <c r="S302" s="138"/>
      <c r="T302" s="325"/>
      <c r="U302" s="325"/>
      <c r="V302" s="325"/>
      <c r="W302" s="325"/>
      <c r="X302" s="325"/>
      <c r="Y302" s="325"/>
      <c r="Z302" s="325"/>
      <c r="AA302" s="325"/>
      <c r="AB302" s="325"/>
      <c r="AC302" s="325"/>
      <c r="AD302" s="325"/>
      <c r="AE302" s="325"/>
      <c r="AF302" s="325"/>
      <c r="AG302" s="325"/>
      <c r="AH302" s="325"/>
      <c r="AI302" s="325"/>
      <c r="AJ302" s="325"/>
      <c r="AK302" s="325"/>
      <c r="AL302" s="325"/>
      <c r="AM302" s="325"/>
      <c r="AN302" s="325"/>
      <c r="AO302" s="325"/>
      <c r="AP302" s="325"/>
      <c r="AQ302" s="325"/>
      <c r="AR302" s="325"/>
      <c r="AS302" s="325"/>
      <c r="AT302" s="325"/>
      <c r="AU302" s="325"/>
      <c r="AV302" s="325"/>
      <c r="AW302" s="325"/>
      <c r="AX302" s="325"/>
      <c r="AY302" s="325"/>
      <c r="AZ302" s="325"/>
      <c r="BA302" s="325"/>
      <c r="BB302" s="325"/>
      <c r="BC302" s="325"/>
      <c r="BD302" s="325"/>
      <c r="BE302" s="325"/>
      <c r="BF302" s="325"/>
      <c r="BG302" s="325"/>
      <c r="BH302" s="325"/>
      <c r="BI302" s="325"/>
      <c r="BJ302" s="325"/>
      <c r="BK302" s="325"/>
      <c r="BL302" s="325"/>
      <c r="BM302" s="325"/>
      <c r="BN302" s="325"/>
      <c r="BO302" s="325"/>
      <c r="BP302" s="325"/>
      <c r="BQ302" s="325"/>
      <c r="BR302" s="325"/>
    </row>
    <row r="303" spans="2:70" s="328" customFormat="1" ht="12.75">
      <c r="B303" s="114"/>
      <c r="C303" s="329"/>
      <c r="L303" s="330"/>
      <c r="M303" s="293"/>
      <c r="N303" s="325"/>
      <c r="O303" s="138"/>
      <c r="P303" s="138"/>
      <c r="Q303" s="138"/>
      <c r="R303" s="138"/>
      <c r="S303" s="138"/>
      <c r="T303" s="325"/>
      <c r="U303" s="325"/>
      <c r="V303" s="325"/>
      <c r="W303" s="325"/>
      <c r="X303" s="325"/>
      <c r="Y303" s="325"/>
      <c r="Z303" s="325"/>
      <c r="AA303" s="325"/>
      <c r="AB303" s="325"/>
      <c r="AC303" s="325"/>
      <c r="AD303" s="325"/>
      <c r="AE303" s="325"/>
      <c r="AF303" s="325"/>
      <c r="AG303" s="325"/>
      <c r="AH303" s="325"/>
      <c r="AI303" s="325"/>
      <c r="AJ303" s="325"/>
      <c r="AK303" s="325"/>
      <c r="AL303" s="325"/>
      <c r="AM303" s="325"/>
      <c r="AN303" s="325"/>
      <c r="AO303" s="325"/>
      <c r="AP303" s="325"/>
      <c r="AQ303" s="325"/>
      <c r="AR303" s="325"/>
      <c r="AS303" s="325"/>
      <c r="AT303" s="325"/>
      <c r="AU303" s="325"/>
      <c r="AV303" s="325"/>
      <c r="AW303" s="325"/>
      <c r="AX303" s="325"/>
      <c r="AY303" s="325"/>
      <c r="AZ303" s="325"/>
      <c r="BA303" s="325"/>
      <c r="BB303" s="325"/>
      <c r="BC303" s="325"/>
      <c r="BD303" s="325"/>
      <c r="BE303" s="325"/>
      <c r="BF303" s="325"/>
      <c r="BG303" s="325"/>
      <c r="BH303" s="325"/>
      <c r="BI303" s="325"/>
      <c r="BJ303" s="325"/>
      <c r="BK303" s="325"/>
      <c r="BL303" s="325"/>
      <c r="BM303" s="325"/>
      <c r="BN303" s="325"/>
      <c r="BO303" s="325"/>
      <c r="BP303" s="325"/>
      <c r="BQ303" s="325"/>
      <c r="BR303" s="325"/>
    </row>
    <row r="304" spans="2:70" s="328" customFormat="1" ht="12.75">
      <c r="B304" s="114"/>
      <c r="C304" s="329"/>
      <c r="L304" s="330"/>
      <c r="M304" s="293"/>
      <c r="N304" s="325"/>
      <c r="O304" s="138"/>
      <c r="P304" s="138"/>
      <c r="Q304" s="138"/>
      <c r="R304" s="138"/>
      <c r="S304" s="138"/>
      <c r="T304" s="325"/>
      <c r="U304" s="325"/>
      <c r="V304" s="325"/>
      <c r="W304" s="325"/>
      <c r="X304" s="325"/>
      <c r="Y304" s="325"/>
      <c r="Z304" s="325"/>
      <c r="AA304" s="325"/>
      <c r="AB304" s="325"/>
      <c r="AC304" s="325"/>
      <c r="AD304" s="325"/>
      <c r="AE304" s="325"/>
      <c r="AF304" s="325"/>
      <c r="AG304" s="325"/>
      <c r="AH304" s="325"/>
      <c r="AI304" s="325"/>
      <c r="AJ304" s="325"/>
      <c r="AK304" s="325"/>
      <c r="AL304" s="325"/>
      <c r="AM304" s="325"/>
      <c r="AN304" s="325"/>
      <c r="AO304" s="325"/>
      <c r="AP304" s="325"/>
      <c r="AQ304" s="325"/>
      <c r="AR304" s="325"/>
      <c r="AS304" s="325"/>
      <c r="AT304" s="325"/>
      <c r="AU304" s="325"/>
      <c r="AV304" s="325"/>
      <c r="AW304" s="325"/>
      <c r="AX304" s="325"/>
      <c r="AY304" s="325"/>
      <c r="AZ304" s="325"/>
      <c r="BA304" s="325"/>
      <c r="BB304" s="325"/>
      <c r="BC304" s="325"/>
      <c r="BD304" s="325"/>
      <c r="BE304" s="325"/>
      <c r="BF304" s="325"/>
      <c r="BG304" s="325"/>
      <c r="BH304" s="325"/>
      <c r="BI304" s="325"/>
      <c r="BJ304" s="325"/>
      <c r="BK304" s="325"/>
      <c r="BL304" s="325"/>
      <c r="BM304" s="325"/>
      <c r="BN304" s="325"/>
      <c r="BO304" s="325"/>
      <c r="BP304" s="325"/>
      <c r="BQ304" s="325"/>
      <c r="BR304" s="325"/>
    </row>
    <row r="305" spans="2:70" s="328" customFormat="1" ht="12.75">
      <c r="B305" s="114"/>
      <c r="C305" s="329"/>
      <c r="L305" s="330"/>
      <c r="M305" s="293"/>
      <c r="N305" s="325"/>
      <c r="O305" s="138"/>
      <c r="P305" s="138"/>
      <c r="Q305" s="138"/>
      <c r="R305" s="138"/>
      <c r="S305" s="138"/>
      <c r="T305" s="325"/>
      <c r="U305" s="325"/>
      <c r="V305" s="325"/>
      <c r="W305" s="325"/>
      <c r="X305" s="325"/>
      <c r="Y305" s="325"/>
      <c r="Z305" s="325"/>
      <c r="AA305" s="325"/>
      <c r="AB305" s="325"/>
      <c r="AC305" s="325"/>
      <c r="AD305" s="325"/>
      <c r="AE305" s="325"/>
      <c r="AF305" s="325"/>
      <c r="AG305" s="325"/>
      <c r="AH305" s="325"/>
      <c r="AI305" s="325"/>
      <c r="AJ305" s="325"/>
      <c r="AK305" s="325"/>
      <c r="AL305" s="325"/>
      <c r="AM305" s="325"/>
      <c r="AN305" s="325"/>
      <c r="AO305" s="325"/>
      <c r="AP305" s="325"/>
      <c r="AQ305" s="325"/>
      <c r="AR305" s="325"/>
      <c r="AS305" s="325"/>
      <c r="AT305" s="325"/>
      <c r="AU305" s="325"/>
      <c r="AV305" s="325"/>
      <c r="AW305" s="325"/>
      <c r="AX305" s="325"/>
      <c r="AY305" s="325"/>
      <c r="AZ305" s="325"/>
      <c r="BA305" s="325"/>
      <c r="BB305" s="325"/>
      <c r="BC305" s="325"/>
      <c r="BD305" s="325"/>
      <c r="BE305" s="325"/>
      <c r="BF305" s="325"/>
      <c r="BG305" s="325"/>
      <c r="BH305" s="325"/>
      <c r="BI305" s="325"/>
      <c r="BJ305" s="325"/>
      <c r="BK305" s="325"/>
      <c r="BL305" s="325"/>
      <c r="BM305" s="325"/>
      <c r="BN305" s="325"/>
      <c r="BO305" s="325"/>
      <c r="BP305" s="325"/>
      <c r="BQ305" s="325"/>
      <c r="BR305" s="325"/>
    </row>
    <row r="306" spans="2:70" s="328" customFormat="1" ht="12.75">
      <c r="B306" s="114"/>
      <c r="C306" s="329"/>
      <c r="L306" s="330"/>
      <c r="M306" s="293"/>
      <c r="N306" s="325"/>
      <c r="O306" s="138"/>
      <c r="P306" s="138"/>
      <c r="Q306" s="138"/>
      <c r="R306" s="138"/>
      <c r="S306" s="138"/>
      <c r="T306" s="325"/>
      <c r="U306" s="325"/>
      <c r="V306" s="325"/>
      <c r="W306" s="325"/>
      <c r="X306" s="325"/>
      <c r="Y306" s="325"/>
      <c r="Z306" s="325"/>
      <c r="AA306" s="325"/>
      <c r="AB306" s="325"/>
      <c r="AC306" s="325"/>
      <c r="AD306" s="325"/>
      <c r="AE306" s="325"/>
      <c r="AF306" s="325"/>
      <c r="AG306" s="325"/>
      <c r="AH306" s="325"/>
      <c r="AI306" s="325"/>
      <c r="AJ306" s="325"/>
      <c r="AK306" s="325"/>
      <c r="AL306" s="325"/>
      <c r="AM306" s="325"/>
      <c r="AN306" s="325"/>
      <c r="AO306" s="325"/>
      <c r="AP306" s="325"/>
      <c r="AQ306" s="325"/>
      <c r="AR306" s="325"/>
      <c r="AS306" s="325"/>
      <c r="AT306" s="325"/>
      <c r="AU306" s="325"/>
      <c r="AV306" s="325"/>
      <c r="AW306" s="325"/>
      <c r="AX306" s="325"/>
      <c r="AY306" s="325"/>
      <c r="AZ306" s="325"/>
      <c r="BA306" s="325"/>
      <c r="BB306" s="325"/>
      <c r="BC306" s="325"/>
      <c r="BD306" s="325"/>
      <c r="BE306" s="325"/>
      <c r="BF306" s="325"/>
      <c r="BG306" s="325"/>
      <c r="BH306" s="325"/>
      <c r="BI306" s="325"/>
      <c r="BJ306" s="325"/>
      <c r="BK306" s="325"/>
      <c r="BL306" s="325"/>
      <c r="BM306" s="325"/>
      <c r="BN306" s="325"/>
      <c r="BO306" s="325"/>
      <c r="BP306" s="325"/>
      <c r="BQ306" s="325"/>
      <c r="BR306" s="325"/>
    </row>
    <row r="307" spans="2:70" s="328" customFormat="1" ht="12.75">
      <c r="B307" s="114"/>
      <c r="C307" s="329"/>
      <c r="L307" s="330"/>
      <c r="M307" s="293"/>
      <c r="N307" s="325"/>
      <c r="O307" s="138"/>
      <c r="P307" s="138"/>
      <c r="Q307" s="138"/>
      <c r="R307" s="138"/>
      <c r="S307" s="138"/>
      <c r="T307" s="325"/>
      <c r="U307" s="325"/>
      <c r="V307" s="325"/>
      <c r="W307" s="325"/>
      <c r="X307" s="325"/>
      <c r="Y307" s="325"/>
      <c r="Z307" s="325"/>
      <c r="AA307" s="325"/>
      <c r="AB307" s="325"/>
      <c r="AC307" s="325"/>
      <c r="AD307" s="325"/>
      <c r="AE307" s="325"/>
      <c r="AF307" s="325"/>
      <c r="AG307" s="325"/>
      <c r="AH307" s="325"/>
      <c r="AI307" s="325"/>
      <c r="AJ307" s="325"/>
      <c r="AK307" s="325"/>
      <c r="AL307" s="325"/>
      <c r="AM307" s="325"/>
      <c r="AN307" s="325"/>
      <c r="AO307" s="325"/>
      <c r="AP307" s="325"/>
      <c r="AQ307" s="325"/>
      <c r="AR307" s="325"/>
      <c r="AS307" s="325"/>
      <c r="AT307" s="325"/>
      <c r="AU307" s="325"/>
      <c r="AV307" s="325"/>
      <c r="AW307" s="325"/>
      <c r="AX307" s="325"/>
      <c r="AY307" s="325"/>
      <c r="AZ307" s="325"/>
      <c r="BA307" s="325"/>
      <c r="BB307" s="325"/>
      <c r="BC307" s="325"/>
      <c r="BD307" s="325"/>
      <c r="BE307" s="325"/>
      <c r="BF307" s="325"/>
      <c r="BG307" s="325"/>
      <c r="BH307" s="325"/>
      <c r="BI307" s="325"/>
      <c r="BJ307" s="325"/>
      <c r="BK307" s="325"/>
      <c r="BL307" s="325"/>
      <c r="BM307" s="325"/>
      <c r="BN307" s="325"/>
      <c r="BO307" s="325"/>
      <c r="BP307" s="325"/>
      <c r="BQ307" s="325"/>
      <c r="BR307" s="325"/>
    </row>
    <row r="308" spans="2:70" s="328" customFormat="1" ht="12.75">
      <c r="B308" s="114"/>
      <c r="C308" s="329"/>
      <c r="L308" s="330"/>
      <c r="M308" s="293"/>
      <c r="N308" s="325"/>
      <c r="O308" s="138"/>
      <c r="P308" s="138"/>
      <c r="Q308" s="138"/>
      <c r="R308" s="138"/>
      <c r="S308" s="138"/>
      <c r="T308" s="325"/>
      <c r="U308" s="325"/>
      <c r="V308" s="325"/>
      <c r="W308" s="325"/>
      <c r="X308" s="325"/>
      <c r="Y308" s="325"/>
      <c r="Z308" s="325"/>
      <c r="AA308" s="325"/>
      <c r="AB308" s="325"/>
      <c r="AC308" s="325"/>
      <c r="AD308" s="325"/>
      <c r="AE308" s="325"/>
      <c r="AF308" s="325"/>
      <c r="AG308" s="325"/>
      <c r="AH308" s="325"/>
      <c r="AI308" s="325"/>
      <c r="AJ308" s="325"/>
      <c r="AK308" s="325"/>
      <c r="AL308" s="325"/>
      <c r="AM308" s="325"/>
      <c r="AN308" s="325"/>
      <c r="AO308" s="325"/>
      <c r="AP308" s="325"/>
      <c r="AQ308" s="325"/>
      <c r="AR308" s="325"/>
      <c r="AS308" s="325"/>
      <c r="AT308" s="325"/>
      <c r="AU308" s="325"/>
      <c r="AV308" s="325"/>
      <c r="AW308" s="325"/>
      <c r="AX308" s="325"/>
      <c r="AY308" s="325"/>
      <c r="AZ308" s="325"/>
      <c r="BA308" s="325"/>
      <c r="BB308" s="325"/>
      <c r="BC308" s="325"/>
      <c r="BD308" s="325"/>
      <c r="BE308" s="325"/>
      <c r="BF308" s="325"/>
      <c r="BG308" s="325"/>
      <c r="BH308" s="325"/>
      <c r="BI308" s="325"/>
      <c r="BJ308" s="325"/>
      <c r="BK308" s="325"/>
      <c r="BL308" s="325"/>
      <c r="BM308" s="325"/>
      <c r="BN308" s="325"/>
      <c r="BO308" s="325"/>
      <c r="BP308" s="325"/>
      <c r="BQ308" s="325"/>
      <c r="BR308" s="325"/>
    </row>
    <row r="309" spans="2:70" s="328" customFormat="1" ht="12.75">
      <c r="B309" s="114"/>
      <c r="C309" s="329"/>
      <c r="L309" s="330"/>
      <c r="M309" s="293"/>
      <c r="N309" s="325"/>
      <c r="O309" s="138"/>
      <c r="P309" s="138"/>
      <c r="Q309" s="2"/>
      <c r="R309" s="2"/>
      <c r="S309" s="2"/>
      <c r="T309" s="325"/>
      <c r="U309" s="325"/>
      <c r="V309" s="325"/>
      <c r="W309" s="325"/>
      <c r="X309" s="325"/>
      <c r="Y309" s="325"/>
      <c r="Z309" s="325"/>
      <c r="AA309" s="325"/>
      <c r="AB309" s="325"/>
      <c r="AC309" s="325"/>
      <c r="AD309" s="325"/>
      <c r="AE309" s="325"/>
      <c r="AF309" s="325"/>
      <c r="AG309" s="325"/>
      <c r="AH309" s="325"/>
      <c r="AI309" s="325"/>
      <c r="AJ309" s="325"/>
      <c r="AK309" s="325"/>
      <c r="AL309" s="325"/>
      <c r="AM309" s="325"/>
      <c r="AN309" s="325"/>
      <c r="AO309" s="325"/>
      <c r="AP309" s="325"/>
      <c r="AQ309" s="325"/>
      <c r="AR309" s="325"/>
      <c r="AS309" s="325"/>
      <c r="AT309" s="325"/>
      <c r="AU309" s="325"/>
      <c r="AV309" s="325"/>
      <c r="AW309" s="325"/>
      <c r="AX309" s="325"/>
      <c r="AY309" s="325"/>
      <c r="AZ309" s="325"/>
      <c r="BA309" s="325"/>
      <c r="BB309" s="325"/>
      <c r="BC309" s="325"/>
      <c r="BD309" s="325"/>
      <c r="BE309" s="325"/>
      <c r="BF309" s="325"/>
      <c r="BG309" s="325"/>
      <c r="BH309" s="325"/>
      <c r="BI309" s="325"/>
      <c r="BJ309" s="325"/>
      <c r="BK309" s="325"/>
      <c r="BL309" s="325"/>
      <c r="BM309" s="325"/>
      <c r="BN309" s="325"/>
      <c r="BO309" s="325"/>
      <c r="BP309" s="325"/>
      <c r="BQ309" s="325"/>
      <c r="BR309" s="325"/>
    </row>
    <row r="310" spans="2:70" s="328" customFormat="1" ht="12.75">
      <c r="B310" s="114"/>
      <c r="C310" s="329"/>
      <c r="L310" s="330"/>
      <c r="M310" s="293"/>
      <c r="N310" s="325"/>
      <c r="O310" s="138"/>
      <c r="P310" s="138"/>
      <c r="Q310" s="2"/>
      <c r="R310" s="2"/>
      <c r="S310" s="2"/>
      <c r="T310" s="325"/>
      <c r="U310" s="325"/>
      <c r="V310" s="325"/>
      <c r="W310" s="325"/>
      <c r="X310" s="325"/>
      <c r="Y310" s="325"/>
      <c r="Z310" s="325"/>
      <c r="AA310" s="325"/>
      <c r="AB310" s="325"/>
      <c r="AC310" s="325"/>
      <c r="AD310" s="325"/>
      <c r="AE310" s="325"/>
      <c r="AF310" s="325"/>
      <c r="AG310" s="325"/>
      <c r="AH310" s="325"/>
      <c r="AI310" s="325"/>
      <c r="AJ310" s="325"/>
      <c r="AK310" s="325"/>
      <c r="AL310" s="325"/>
      <c r="AM310" s="325"/>
      <c r="AN310" s="325"/>
      <c r="AO310" s="325"/>
      <c r="AP310" s="325"/>
      <c r="AQ310" s="325"/>
      <c r="AR310" s="325"/>
      <c r="AS310" s="325"/>
      <c r="AT310" s="325"/>
      <c r="AU310" s="325"/>
      <c r="AV310" s="325"/>
      <c r="AW310" s="325"/>
      <c r="AX310" s="325"/>
      <c r="AY310" s="325"/>
      <c r="AZ310" s="325"/>
      <c r="BA310" s="325"/>
      <c r="BB310" s="325"/>
      <c r="BC310" s="325"/>
      <c r="BD310" s="325"/>
      <c r="BE310" s="325"/>
      <c r="BF310" s="325"/>
      <c r="BG310" s="325"/>
      <c r="BH310" s="325"/>
      <c r="BI310" s="325"/>
      <c r="BJ310" s="325"/>
      <c r="BK310" s="325"/>
      <c r="BL310" s="325"/>
      <c r="BM310" s="325"/>
      <c r="BN310" s="325"/>
      <c r="BO310" s="325"/>
      <c r="BP310" s="325"/>
      <c r="BQ310" s="325"/>
      <c r="BR310" s="325"/>
    </row>
    <row r="311" spans="2:70" s="328" customFormat="1" ht="12.75">
      <c r="B311" s="114"/>
      <c r="C311" s="329"/>
      <c r="L311" s="330"/>
      <c r="M311" s="293"/>
      <c r="N311" s="325"/>
      <c r="O311" s="138"/>
      <c r="P311" s="138"/>
      <c r="Q311" s="2"/>
      <c r="R311" s="2"/>
      <c r="S311" s="2"/>
      <c r="T311" s="325"/>
      <c r="U311" s="325"/>
      <c r="V311" s="325"/>
      <c r="W311" s="325"/>
      <c r="X311" s="325"/>
      <c r="Y311" s="325"/>
      <c r="Z311" s="325"/>
      <c r="AA311" s="325"/>
      <c r="AB311" s="325"/>
      <c r="AC311" s="325"/>
      <c r="AD311" s="325"/>
      <c r="AE311" s="325"/>
      <c r="AF311" s="325"/>
      <c r="AG311" s="325"/>
      <c r="AH311" s="325"/>
      <c r="AI311" s="325"/>
      <c r="AJ311" s="325"/>
      <c r="AK311" s="325"/>
      <c r="AL311" s="325"/>
      <c r="AM311" s="325"/>
      <c r="AN311" s="325"/>
      <c r="AO311" s="325"/>
      <c r="AP311" s="325"/>
      <c r="AQ311" s="325"/>
      <c r="AR311" s="325"/>
      <c r="AS311" s="325"/>
      <c r="AT311" s="325"/>
      <c r="AU311" s="325"/>
      <c r="AV311" s="325"/>
      <c r="AW311" s="325"/>
      <c r="AX311" s="325"/>
      <c r="AY311" s="325"/>
      <c r="AZ311" s="325"/>
      <c r="BA311" s="325"/>
      <c r="BB311" s="325"/>
      <c r="BC311" s="325"/>
      <c r="BD311" s="325"/>
      <c r="BE311" s="325"/>
      <c r="BF311" s="325"/>
      <c r="BG311" s="325"/>
      <c r="BH311" s="325"/>
      <c r="BI311" s="325"/>
      <c r="BJ311" s="325"/>
      <c r="BK311" s="325"/>
      <c r="BL311" s="325"/>
      <c r="BM311" s="325"/>
      <c r="BN311" s="325"/>
      <c r="BO311" s="325"/>
      <c r="BP311" s="325"/>
      <c r="BQ311" s="325"/>
      <c r="BR311" s="325"/>
    </row>
    <row r="312" spans="2:70" s="328" customFormat="1" ht="12.75">
      <c r="B312" s="114"/>
      <c r="C312" s="329"/>
      <c r="L312" s="330"/>
      <c r="M312" s="293"/>
      <c r="N312" s="325"/>
      <c r="O312" s="138"/>
      <c r="P312" s="138"/>
      <c r="Q312" s="2"/>
      <c r="R312" s="2"/>
      <c r="S312" s="2"/>
      <c r="T312" s="325"/>
      <c r="U312" s="325"/>
      <c r="V312" s="325"/>
      <c r="W312" s="325"/>
      <c r="X312" s="325"/>
      <c r="Y312" s="325"/>
      <c r="Z312" s="325"/>
      <c r="AA312" s="325"/>
      <c r="AB312" s="325"/>
      <c r="AC312" s="325"/>
      <c r="AD312" s="325"/>
      <c r="AE312" s="325"/>
      <c r="AF312" s="325"/>
      <c r="AG312" s="325"/>
      <c r="AH312" s="325"/>
      <c r="AI312" s="325"/>
      <c r="AJ312" s="325"/>
      <c r="AK312" s="325"/>
      <c r="AL312" s="325"/>
      <c r="AM312" s="325"/>
      <c r="AN312" s="325"/>
      <c r="AO312" s="325"/>
      <c r="AP312" s="325"/>
      <c r="AQ312" s="325"/>
      <c r="AR312" s="325"/>
      <c r="AS312" s="325"/>
      <c r="AT312" s="325"/>
      <c r="AU312" s="325"/>
      <c r="AV312" s="325"/>
      <c r="AW312" s="325"/>
      <c r="AX312" s="325"/>
      <c r="AY312" s="325"/>
      <c r="AZ312" s="325"/>
      <c r="BA312" s="325"/>
      <c r="BB312" s="325"/>
      <c r="BC312" s="325"/>
      <c r="BD312" s="325"/>
      <c r="BE312" s="325"/>
      <c r="BF312" s="325"/>
      <c r="BG312" s="325"/>
      <c r="BH312" s="325"/>
      <c r="BI312" s="325"/>
      <c r="BJ312" s="325"/>
      <c r="BK312" s="325"/>
      <c r="BL312" s="325"/>
      <c r="BM312" s="325"/>
      <c r="BN312" s="325"/>
      <c r="BO312" s="325"/>
      <c r="BP312" s="325"/>
      <c r="BQ312" s="325"/>
      <c r="BR312" s="325"/>
    </row>
    <row r="313" spans="2:70" s="328" customFormat="1" ht="12.75">
      <c r="B313" s="114"/>
      <c r="C313" s="329"/>
      <c r="L313" s="330"/>
      <c r="M313" s="293"/>
      <c r="N313" s="325"/>
      <c r="O313" s="138"/>
      <c r="P313" s="138"/>
      <c r="Q313" s="2"/>
      <c r="R313" s="2"/>
      <c r="S313" s="2"/>
      <c r="T313" s="325"/>
      <c r="U313" s="325"/>
      <c r="V313" s="325"/>
      <c r="W313" s="325"/>
      <c r="X313" s="325"/>
      <c r="Y313" s="325"/>
      <c r="Z313" s="325"/>
      <c r="AA313" s="325"/>
      <c r="AB313" s="325"/>
      <c r="AC313" s="325"/>
      <c r="AD313" s="325"/>
      <c r="AE313" s="325"/>
      <c r="AF313" s="325"/>
      <c r="AG313" s="325"/>
      <c r="AH313" s="325"/>
      <c r="AI313" s="325"/>
      <c r="AJ313" s="325"/>
      <c r="AK313" s="325"/>
      <c r="AL313" s="325"/>
      <c r="AM313" s="325"/>
      <c r="AN313" s="325"/>
      <c r="AO313" s="325"/>
      <c r="AP313" s="325"/>
      <c r="AQ313" s="325"/>
      <c r="AR313" s="325"/>
      <c r="AS313" s="325"/>
      <c r="AT313" s="325"/>
      <c r="AU313" s="325"/>
      <c r="AV313" s="325"/>
      <c r="AW313" s="325"/>
      <c r="AX313" s="325"/>
      <c r="AY313" s="325"/>
      <c r="AZ313" s="325"/>
      <c r="BA313" s="325"/>
      <c r="BB313" s="325"/>
      <c r="BC313" s="325"/>
      <c r="BD313" s="325"/>
      <c r="BE313" s="325"/>
      <c r="BF313" s="325"/>
      <c r="BG313" s="325"/>
      <c r="BH313" s="325"/>
      <c r="BI313" s="325"/>
      <c r="BJ313" s="325"/>
      <c r="BK313" s="325"/>
      <c r="BL313" s="325"/>
      <c r="BM313" s="325"/>
      <c r="BN313" s="325"/>
      <c r="BO313" s="325"/>
      <c r="BP313" s="325"/>
      <c r="BQ313" s="325"/>
      <c r="BR313" s="325"/>
    </row>
    <row r="314" spans="2:70" s="328" customFormat="1" ht="12.75">
      <c r="B314" s="114"/>
      <c r="C314" s="329"/>
      <c r="L314" s="330"/>
      <c r="M314" s="293"/>
      <c r="N314" s="325"/>
      <c r="O314" s="138"/>
      <c r="P314" s="138"/>
      <c r="Q314" s="2"/>
      <c r="R314" s="2"/>
      <c r="S314" s="2"/>
      <c r="T314" s="325"/>
      <c r="U314" s="325"/>
      <c r="V314" s="325"/>
      <c r="W314" s="325"/>
      <c r="X314" s="325"/>
      <c r="Y314" s="325"/>
      <c r="Z314" s="325"/>
      <c r="AA314" s="325"/>
      <c r="AB314" s="325"/>
      <c r="AC314" s="325"/>
      <c r="AD314" s="325"/>
      <c r="AE314" s="325"/>
      <c r="AF314" s="325"/>
      <c r="AG314" s="325"/>
      <c r="AH314" s="325"/>
      <c r="AI314" s="325"/>
      <c r="AJ314" s="325"/>
      <c r="AK314" s="325"/>
      <c r="AL314" s="325"/>
      <c r="AM314" s="325"/>
      <c r="AN314" s="325"/>
      <c r="AO314" s="325"/>
      <c r="AP314" s="325"/>
      <c r="AQ314" s="325"/>
      <c r="AR314" s="325"/>
      <c r="AS314" s="325"/>
      <c r="AT314" s="325"/>
      <c r="AU314" s="325"/>
      <c r="AV314" s="325"/>
      <c r="AW314" s="325"/>
      <c r="AX314" s="325"/>
      <c r="AY314" s="325"/>
      <c r="AZ314" s="325"/>
      <c r="BA314" s="325"/>
      <c r="BB314" s="325"/>
      <c r="BC314" s="325"/>
      <c r="BD314" s="325"/>
      <c r="BE314" s="325"/>
      <c r="BF314" s="325"/>
      <c r="BG314" s="325"/>
      <c r="BH314" s="325"/>
      <c r="BI314" s="325"/>
      <c r="BJ314" s="325"/>
      <c r="BK314" s="325"/>
      <c r="BL314" s="325"/>
      <c r="BM314" s="325"/>
      <c r="BN314" s="325"/>
      <c r="BO314" s="325"/>
      <c r="BP314" s="325"/>
      <c r="BQ314" s="325"/>
      <c r="BR314" s="325"/>
    </row>
    <row r="315" spans="2:70" s="328" customFormat="1" ht="12.75">
      <c r="B315" s="114"/>
      <c r="C315" s="329"/>
      <c r="L315" s="330"/>
      <c r="M315" s="293"/>
      <c r="N315" s="325"/>
      <c r="O315" s="138"/>
      <c r="P315" s="138"/>
      <c r="Q315" s="2"/>
      <c r="R315" s="2"/>
      <c r="S315" s="2"/>
      <c r="T315" s="325"/>
      <c r="U315" s="325"/>
      <c r="V315" s="325"/>
      <c r="W315" s="325"/>
      <c r="X315" s="325"/>
      <c r="Y315" s="325"/>
      <c r="Z315" s="325"/>
      <c r="AA315" s="325"/>
      <c r="AB315" s="325"/>
      <c r="AC315" s="325"/>
      <c r="AD315" s="325"/>
      <c r="AE315" s="325"/>
      <c r="AF315" s="325"/>
      <c r="AG315" s="325"/>
      <c r="AH315" s="325"/>
      <c r="AI315" s="325"/>
      <c r="AJ315" s="325"/>
      <c r="AK315" s="325"/>
      <c r="AL315" s="325"/>
      <c r="AM315" s="325"/>
      <c r="AN315" s="325"/>
      <c r="AO315" s="325"/>
      <c r="AP315" s="325"/>
      <c r="AQ315" s="325"/>
      <c r="AR315" s="325"/>
      <c r="AS315" s="325"/>
      <c r="AT315" s="325"/>
      <c r="AU315" s="325"/>
      <c r="AV315" s="325"/>
      <c r="AW315" s="325"/>
      <c r="AX315" s="325"/>
      <c r="AY315" s="325"/>
      <c r="AZ315" s="325"/>
      <c r="BA315" s="325"/>
      <c r="BB315" s="325"/>
      <c r="BC315" s="325"/>
      <c r="BD315" s="325"/>
      <c r="BE315" s="325"/>
      <c r="BF315" s="325"/>
      <c r="BG315" s="325"/>
      <c r="BH315" s="325"/>
      <c r="BI315" s="325"/>
      <c r="BJ315" s="325"/>
      <c r="BK315" s="325"/>
      <c r="BL315" s="325"/>
      <c r="BM315" s="325"/>
      <c r="BN315" s="325"/>
      <c r="BO315" s="325"/>
      <c r="BP315" s="325"/>
      <c r="BQ315" s="325"/>
      <c r="BR315" s="325"/>
    </row>
  </sheetData>
  <mergeCells count="23">
    <mergeCell ref="J3:M3"/>
    <mergeCell ref="D3:D4"/>
    <mergeCell ref="A1:M1"/>
    <mergeCell ref="A3:A4"/>
    <mergeCell ref="B3:B4"/>
    <mergeCell ref="C3:C4"/>
    <mergeCell ref="E3:H3"/>
    <mergeCell ref="I3:I4"/>
    <mergeCell ref="Q4:W4"/>
    <mergeCell ref="A39:A42"/>
    <mergeCell ref="A69:A71"/>
    <mergeCell ref="B69:B71"/>
    <mergeCell ref="M76:M78"/>
    <mergeCell ref="A89:A90"/>
    <mergeCell ref="A138:A140"/>
    <mergeCell ref="C138:C140"/>
    <mergeCell ref="A240:A242"/>
    <mergeCell ref="C240:C242"/>
    <mergeCell ref="A146:A147"/>
    <mergeCell ref="A148:A149"/>
    <mergeCell ref="C159:C160"/>
    <mergeCell ref="A200:A203"/>
    <mergeCell ref="C200:C20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69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8515625" style="301" customWidth="1"/>
    <col min="2" max="2" width="8.421875" style="1" customWidth="1"/>
    <col min="3" max="3" width="44.00390625" style="302" customWidth="1"/>
    <col min="4" max="4" width="9.00390625" style="303" customWidth="1"/>
    <col min="5" max="5" width="11.421875" style="301" customWidth="1"/>
    <col min="6" max="6" width="10.28125" style="301" customWidth="1"/>
    <col min="7" max="7" width="10.140625" style="301" customWidth="1"/>
    <col min="8" max="8" width="10.00390625" style="301" customWidth="1"/>
    <col min="9" max="9" width="10.8515625" style="301" customWidth="1"/>
    <col min="10" max="10" width="12.28125" style="301" customWidth="1"/>
    <col min="11" max="11" width="9.00390625" style="301" customWidth="1"/>
    <col min="12" max="12" width="9.8515625" style="301" customWidth="1"/>
    <col min="13" max="13" width="9.00390625" style="303" customWidth="1"/>
    <col min="14" max="14" width="7.57421875" style="293" customWidth="1"/>
    <col min="15" max="15" width="5.140625" style="304" customWidth="1"/>
    <col min="16" max="16" width="13.8515625" style="138" customWidth="1"/>
    <col min="17" max="17" width="21.7109375" style="138" customWidth="1"/>
    <col min="18" max="18" width="9.140625" style="2" customWidth="1"/>
    <col min="19" max="19" width="10.140625" style="2" bestFit="1" customWidth="1"/>
    <col min="20" max="20" width="9.140625" style="2" customWidth="1"/>
    <col min="21" max="71" width="9.140625" style="304" customWidth="1"/>
    <col min="72" max="16384" width="9.140625" style="301" customWidth="1"/>
  </cols>
  <sheetData>
    <row r="1" ht="12.75">
      <c r="K1" s="301" t="s">
        <v>231</v>
      </c>
    </row>
    <row r="2" ht="12.75">
      <c r="K2" s="301" t="s">
        <v>148</v>
      </c>
    </row>
    <row r="3" ht="12.75">
      <c r="K3" s="301" t="s">
        <v>147</v>
      </c>
    </row>
    <row r="4" ht="12.75">
      <c r="K4" s="301" t="s">
        <v>213</v>
      </c>
    </row>
    <row r="7" spans="1:17" s="2" customFormat="1" ht="18" customHeight="1">
      <c r="A7" s="447" t="s">
        <v>214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322" t="s">
        <v>483</v>
      </c>
      <c r="P7" s="139"/>
      <c r="Q7" s="138"/>
    </row>
    <row r="8" spans="12:17" ht="13.5" customHeight="1" thickBot="1">
      <c r="L8" s="398"/>
      <c r="O8" s="323"/>
      <c r="Q8" s="139"/>
    </row>
    <row r="9" spans="1:14" ht="18.75" customHeight="1">
      <c r="A9" s="450" t="s">
        <v>239</v>
      </c>
      <c r="B9" s="450" t="s">
        <v>240</v>
      </c>
      <c r="C9" s="494" t="s">
        <v>241</v>
      </c>
      <c r="D9" s="452" t="s">
        <v>242</v>
      </c>
      <c r="E9" s="496" t="s">
        <v>243</v>
      </c>
      <c r="F9" s="458" t="s">
        <v>244</v>
      </c>
      <c r="G9" s="498"/>
      <c r="H9" s="498"/>
      <c r="I9" s="499"/>
      <c r="J9" s="488" t="s">
        <v>558</v>
      </c>
      <c r="K9" s="490" t="s">
        <v>245</v>
      </c>
      <c r="L9" s="461"/>
      <c r="M9" s="491" t="s">
        <v>246</v>
      </c>
      <c r="N9" s="454" t="s">
        <v>142</v>
      </c>
    </row>
    <row r="10" spans="1:24" ht="28.5" customHeight="1">
      <c r="A10" s="451"/>
      <c r="B10" s="451"/>
      <c r="C10" s="495"/>
      <c r="D10" s="453"/>
      <c r="E10" s="497"/>
      <c r="F10" s="6" t="s">
        <v>247</v>
      </c>
      <c r="G10" s="6" t="s">
        <v>248</v>
      </c>
      <c r="H10" s="6" t="s">
        <v>249</v>
      </c>
      <c r="I10" s="7" t="s">
        <v>250</v>
      </c>
      <c r="J10" s="489"/>
      <c r="K10" s="8" t="s">
        <v>251</v>
      </c>
      <c r="L10" s="5" t="s">
        <v>215</v>
      </c>
      <c r="M10" s="492"/>
      <c r="N10" s="455"/>
      <c r="R10" s="493" t="s">
        <v>230</v>
      </c>
      <c r="S10" s="493"/>
      <c r="T10" s="493"/>
      <c r="U10" s="493"/>
      <c r="V10" s="493"/>
      <c r="W10" s="493"/>
      <c r="X10" s="493"/>
    </row>
    <row r="11" spans="1:20" s="324" customFormat="1" ht="12">
      <c r="A11" s="305">
        <v>1</v>
      </c>
      <c r="B11" s="305">
        <v>2</v>
      </c>
      <c r="C11" s="305">
        <v>3</v>
      </c>
      <c r="D11" s="305">
        <v>4</v>
      </c>
      <c r="E11" s="305">
        <v>5</v>
      </c>
      <c r="F11" s="305">
        <v>6</v>
      </c>
      <c r="G11" s="305">
        <v>7</v>
      </c>
      <c r="H11" s="305">
        <v>8</v>
      </c>
      <c r="I11" s="306">
        <v>9</v>
      </c>
      <c r="J11" s="307">
        <v>10</v>
      </c>
      <c r="K11" s="308">
        <v>11</v>
      </c>
      <c r="L11" s="305">
        <v>12</v>
      </c>
      <c r="M11" s="305">
        <v>13</v>
      </c>
      <c r="N11" s="300">
        <v>14</v>
      </c>
      <c r="P11" s="182"/>
      <c r="Q11" s="182"/>
      <c r="R11" s="128"/>
      <c r="S11" s="128"/>
      <c r="T11" s="128"/>
    </row>
    <row r="12" spans="1:17" ht="27.75" customHeight="1">
      <c r="A12" s="6"/>
      <c r="B12" s="3"/>
      <c r="C12" s="4" t="s">
        <v>253</v>
      </c>
      <c r="D12" s="9"/>
      <c r="E12" s="10">
        <f>SUM(F12:I12)</f>
        <v>72049498</v>
      </c>
      <c r="F12" s="11">
        <f>F13+F163</f>
        <v>151000</v>
      </c>
      <c r="G12" s="11">
        <f>G13+G163</f>
        <v>48194116</v>
      </c>
      <c r="H12" s="11">
        <f>H13+H163</f>
        <v>720000</v>
      </c>
      <c r="I12" s="12">
        <f>I13+I163</f>
        <v>22984382</v>
      </c>
      <c r="J12" s="20">
        <f aca="true" t="shared" si="0" ref="J12:J40">E12+K12+L12+M12</f>
        <v>73141232</v>
      </c>
      <c r="K12" s="77">
        <f>K13+K163</f>
        <v>130000</v>
      </c>
      <c r="L12" s="11">
        <f>L13+L163</f>
        <v>180000</v>
      </c>
      <c r="M12" s="11">
        <f>M13+M163</f>
        <v>781734</v>
      </c>
      <c r="N12" s="399">
        <f>N13+N163</f>
        <v>41943</v>
      </c>
      <c r="P12" s="139">
        <f>E12+P14+P16</f>
        <v>74049498</v>
      </c>
      <c r="Q12" s="138" t="s">
        <v>542</v>
      </c>
    </row>
    <row r="13" spans="1:16" ht="30.75" customHeight="1">
      <c r="A13" s="15" t="s">
        <v>254</v>
      </c>
      <c r="B13" s="16" t="s">
        <v>255</v>
      </c>
      <c r="C13" s="17" t="s">
        <v>256</v>
      </c>
      <c r="D13" s="18"/>
      <c r="E13" s="10">
        <f>SUM(F13:I13)</f>
        <v>60821844</v>
      </c>
      <c r="F13" s="19">
        <f>SUM(F14:F36)</f>
        <v>151000</v>
      </c>
      <c r="G13" s="19">
        <f>SUM(G14:G36)</f>
        <v>41807263</v>
      </c>
      <c r="H13" s="19">
        <f>SUM(H14:H36)</f>
        <v>520000</v>
      </c>
      <c r="I13" s="19">
        <f>SUM(I14:I36)</f>
        <v>18343581</v>
      </c>
      <c r="J13" s="20">
        <f t="shared" si="0"/>
        <v>61913578</v>
      </c>
      <c r="K13" s="90">
        <f>SUM(K14:K36)</f>
        <v>130000</v>
      </c>
      <c r="L13" s="90">
        <f>SUM(L14:L36)</f>
        <v>180000</v>
      </c>
      <c r="M13" s="19">
        <f>SUM(M14:M36)</f>
        <v>781734</v>
      </c>
      <c r="N13" s="400">
        <f>SUM(N14:N36)</f>
        <v>39893</v>
      </c>
      <c r="P13" s="138">
        <f>E13+P14+P16</f>
        <v>62821844</v>
      </c>
    </row>
    <row r="14" spans="1:17" ht="19.5" customHeight="1">
      <c r="A14" s="311"/>
      <c r="B14" s="22" t="str">
        <f>RIGHT(B37,5)</f>
        <v>60004</v>
      </c>
      <c r="C14" s="23" t="s">
        <v>257</v>
      </c>
      <c r="D14" s="24"/>
      <c r="E14" s="25">
        <f aca="true" t="shared" si="1" ref="E14:E52">SUM(F14:I14)</f>
        <v>80000</v>
      </c>
      <c r="F14" s="26">
        <f>F37</f>
        <v>0</v>
      </c>
      <c r="G14" s="26">
        <f>G37</f>
        <v>80000</v>
      </c>
      <c r="H14" s="26">
        <f>H37</f>
        <v>0</v>
      </c>
      <c r="I14" s="26">
        <f>I37</f>
        <v>0</v>
      </c>
      <c r="J14" s="27">
        <f t="shared" si="0"/>
        <v>80000</v>
      </c>
      <c r="K14" s="295">
        <f>K37</f>
        <v>0</v>
      </c>
      <c r="L14" s="26">
        <f>L37</f>
        <v>0</v>
      </c>
      <c r="M14" s="26">
        <f>M37</f>
        <v>0</v>
      </c>
      <c r="N14" s="26">
        <f>N37</f>
        <v>0</v>
      </c>
      <c r="P14" s="138">
        <v>2000000</v>
      </c>
      <c r="Q14" s="138" t="s">
        <v>553</v>
      </c>
    </row>
    <row r="15" spans="1:14" ht="19.5" customHeight="1">
      <c r="A15" s="311"/>
      <c r="B15" s="22" t="str">
        <f>RIGHT(B39,5)</f>
        <v>60016</v>
      </c>
      <c r="C15" s="23" t="s">
        <v>258</v>
      </c>
      <c r="D15" s="24"/>
      <c r="E15" s="25">
        <f t="shared" si="1"/>
        <v>15847000</v>
      </c>
      <c r="F15" s="26">
        <f>F39</f>
        <v>0</v>
      </c>
      <c r="G15" s="26">
        <f>G39</f>
        <v>9197000</v>
      </c>
      <c r="H15" s="26">
        <f>H39</f>
        <v>0</v>
      </c>
      <c r="I15" s="26">
        <f>I39</f>
        <v>6650000</v>
      </c>
      <c r="J15" s="27">
        <f t="shared" si="0"/>
        <v>15847000</v>
      </c>
      <c r="K15" s="26">
        <f>K39</f>
        <v>0</v>
      </c>
      <c r="L15" s="26">
        <f>L39</f>
        <v>0</v>
      </c>
      <c r="M15" s="26">
        <f>M39</f>
        <v>0</v>
      </c>
      <c r="N15" s="26">
        <f>N39</f>
        <v>12664</v>
      </c>
    </row>
    <row r="16" spans="1:17" ht="19.5" customHeight="1">
      <c r="A16" s="311"/>
      <c r="B16" s="22" t="str">
        <f>RIGHT(B61,5)</f>
        <v>70005</v>
      </c>
      <c r="C16" s="23" t="s">
        <v>259</v>
      </c>
      <c r="D16" s="24"/>
      <c r="E16" s="25">
        <f t="shared" si="1"/>
        <v>2800000</v>
      </c>
      <c r="F16" s="26">
        <f>F61</f>
        <v>0</v>
      </c>
      <c r="G16" s="26">
        <f>G61</f>
        <v>2800000</v>
      </c>
      <c r="H16" s="26">
        <f>H61</f>
        <v>0</v>
      </c>
      <c r="I16" s="26">
        <f>I61</f>
        <v>0</v>
      </c>
      <c r="J16" s="27">
        <f t="shared" si="0"/>
        <v>2800000</v>
      </c>
      <c r="K16" s="295">
        <f>K61</f>
        <v>0</v>
      </c>
      <c r="L16" s="26">
        <f>L61</f>
        <v>0</v>
      </c>
      <c r="M16" s="26">
        <f>M61</f>
        <v>0</v>
      </c>
      <c r="N16" s="97">
        <f>N61</f>
        <v>1000</v>
      </c>
      <c r="Q16" s="138" t="s">
        <v>545</v>
      </c>
    </row>
    <row r="17" spans="1:14" ht="19.5" customHeight="1">
      <c r="A17" s="311"/>
      <c r="B17" s="22">
        <v>70095</v>
      </c>
      <c r="C17" s="23" t="s">
        <v>260</v>
      </c>
      <c r="D17" s="24"/>
      <c r="E17" s="25">
        <f>SUM(F17:I17)</f>
        <v>3310000</v>
      </c>
      <c r="F17" s="26">
        <f>F64</f>
        <v>0</v>
      </c>
      <c r="G17" s="26">
        <f>G64</f>
        <v>3310000</v>
      </c>
      <c r="H17" s="26">
        <f>H64</f>
        <v>0</v>
      </c>
      <c r="I17" s="26">
        <f>I64</f>
        <v>0</v>
      </c>
      <c r="J17" s="27">
        <f t="shared" si="0"/>
        <v>3310000</v>
      </c>
      <c r="K17" s="26">
        <f>K64</f>
        <v>0</v>
      </c>
      <c r="L17" s="26">
        <f>L64</f>
        <v>0</v>
      </c>
      <c r="M17" s="26">
        <f>M64</f>
        <v>0</v>
      </c>
      <c r="N17" s="26">
        <f>N64</f>
        <v>1470</v>
      </c>
    </row>
    <row r="18" spans="1:17" ht="19.5" customHeight="1">
      <c r="A18" s="311"/>
      <c r="B18" s="22" t="str">
        <f>RIGHT(B71,5)</f>
        <v>71095</v>
      </c>
      <c r="C18" s="23" t="s">
        <v>576</v>
      </c>
      <c r="D18" s="24"/>
      <c r="E18" s="25">
        <f t="shared" si="1"/>
        <v>11000</v>
      </c>
      <c r="F18" s="26">
        <f>F71</f>
        <v>0</v>
      </c>
      <c r="G18" s="26">
        <f>G71</f>
        <v>11000</v>
      </c>
      <c r="H18" s="26">
        <f>H71</f>
        <v>0</v>
      </c>
      <c r="I18" s="26">
        <f>I71</f>
        <v>0</v>
      </c>
      <c r="J18" s="27">
        <f t="shared" si="0"/>
        <v>11000</v>
      </c>
      <c r="K18" s="295"/>
      <c r="L18" s="26"/>
      <c r="M18" s="26"/>
      <c r="N18" s="97"/>
      <c r="P18" s="138">
        <v>50194116</v>
      </c>
      <c r="Q18" s="138" t="s">
        <v>540</v>
      </c>
    </row>
    <row r="19" spans="1:14" ht="19.5" customHeight="1">
      <c r="A19" s="311"/>
      <c r="B19" s="22">
        <v>75023</v>
      </c>
      <c r="C19" s="23" t="s">
        <v>7</v>
      </c>
      <c r="D19" s="24"/>
      <c r="E19" s="25">
        <f>SUM(F19:I19)</f>
        <v>2562157</v>
      </c>
      <c r="F19" s="26">
        <f>F73</f>
        <v>0</v>
      </c>
      <c r="G19" s="26">
        <f>G73</f>
        <v>1283042</v>
      </c>
      <c r="H19" s="26">
        <f>H73</f>
        <v>0</v>
      </c>
      <c r="I19" s="26">
        <f>I73</f>
        <v>1279115</v>
      </c>
      <c r="J19" s="27">
        <f t="shared" si="0"/>
        <v>2742157</v>
      </c>
      <c r="K19" s="295">
        <f>K73</f>
        <v>0</v>
      </c>
      <c r="L19" s="26">
        <f>L73</f>
        <v>180000</v>
      </c>
      <c r="M19" s="26">
        <f>M73</f>
        <v>0</v>
      </c>
      <c r="N19" s="26">
        <f>N73</f>
        <v>360</v>
      </c>
    </row>
    <row r="20" spans="1:14" ht="19.5" customHeight="1">
      <c r="A20" s="311"/>
      <c r="B20" s="22">
        <v>75416</v>
      </c>
      <c r="C20" s="23" t="s">
        <v>264</v>
      </c>
      <c r="D20" s="24"/>
      <c r="E20" s="25">
        <f>SUM(F20:I20)</f>
        <v>120000</v>
      </c>
      <c r="F20" s="26">
        <f>F81</f>
        <v>0</v>
      </c>
      <c r="G20" s="26">
        <f>G81</f>
        <v>120000</v>
      </c>
      <c r="H20" s="26">
        <f>H81</f>
        <v>0</v>
      </c>
      <c r="I20" s="26">
        <f>I81</f>
        <v>0</v>
      </c>
      <c r="J20" s="27">
        <f t="shared" si="0"/>
        <v>120000</v>
      </c>
      <c r="K20" s="295"/>
      <c r="L20" s="26"/>
      <c r="M20" s="26"/>
      <c r="N20" s="97"/>
    </row>
    <row r="21" spans="1:17" ht="19.5" customHeight="1">
      <c r="A21" s="311"/>
      <c r="B21" s="22" t="str">
        <f>RIGHT(B83,5)</f>
        <v>75495</v>
      </c>
      <c r="C21" s="23" t="s">
        <v>559</v>
      </c>
      <c r="D21" s="24"/>
      <c r="E21" s="25">
        <f>SUM(F21:I21)</f>
        <v>304000</v>
      </c>
      <c r="F21" s="26">
        <f>F83</f>
        <v>0</v>
      </c>
      <c r="G21" s="26">
        <f>G83</f>
        <v>304000</v>
      </c>
      <c r="H21" s="26">
        <f>H83</f>
        <v>0</v>
      </c>
      <c r="I21" s="28">
        <f>I83</f>
        <v>0</v>
      </c>
      <c r="J21" s="27">
        <f t="shared" si="0"/>
        <v>304000</v>
      </c>
      <c r="K21" s="295">
        <f>K83</f>
        <v>0</v>
      </c>
      <c r="L21" s="26">
        <f>L83</f>
        <v>0</v>
      </c>
      <c r="M21" s="26">
        <f>M83</f>
        <v>0</v>
      </c>
      <c r="N21" s="26">
        <f>N83</f>
        <v>0</v>
      </c>
      <c r="P21" s="290">
        <f>G12+P14-P18</f>
        <v>0</v>
      </c>
      <c r="Q21" s="290" t="e">
        <f>P18-S22</f>
        <v>#REF!</v>
      </c>
    </row>
    <row r="22" spans="1:19" ht="19.5" customHeight="1">
      <c r="A22" s="311"/>
      <c r="B22" s="22" t="str">
        <f>RIGHT(B85,5)</f>
        <v>80101</v>
      </c>
      <c r="C22" s="23" t="s">
        <v>265</v>
      </c>
      <c r="D22" s="24"/>
      <c r="E22" s="25">
        <f t="shared" si="1"/>
        <v>2200000</v>
      </c>
      <c r="F22" s="26">
        <f>F85</f>
        <v>0</v>
      </c>
      <c r="G22" s="26">
        <f>G85</f>
        <v>2200000</v>
      </c>
      <c r="H22" s="26">
        <f>H85</f>
        <v>0</v>
      </c>
      <c r="I22" s="26">
        <f>I85</f>
        <v>0</v>
      </c>
      <c r="J22" s="27">
        <f t="shared" si="0"/>
        <v>2200000</v>
      </c>
      <c r="K22" s="295">
        <f>K85</f>
        <v>0</v>
      </c>
      <c r="L22" s="26">
        <f>L85</f>
        <v>0</v>
      </c>
      <c r="M22" s="26">
        <f>M85</f>
        <v>0</v>
      </c>
      <c r="N22" s="97">
        <f>N85</f>
        <v>2050</v>
      </c>
      <c r="S22" s="138" t="e">
        <f>G12+#REF!</f>
        <v>#REF!</v>
      </c>
    </row>
    <row r="23" spans="1:17" ht="19.5" customHeight="1">
      <c r="A23" s="311"/>
      <c r="B23" s="22">
        <v>80110</v>
      </c>
      <c r="C23" s="23" t="s">
        <v>266</v>
      </c>
      <c r="D23" s="24"/>
      <c r="E23" s="25">
        <f t="shared" si="1"/>
        <v>250000</v>
      </c>
      <c r="F23" s="28">
        <f>F89</f>
        <v>0</v>
      </c>
      <c r="G23" s="28">
        <f aca="true" t="shared" si="2" ref="G23:N23">G89</f>
        <v>250000</v>
      </c>
      <c r="H23" s="28">
        <f t="shared" si="2"/>
        <v>0</v>
      </c>
      <c r="I23" s="28">
        <f t="shared" si="2"/>
        <v>0</v>
      </c>
      <c r="J23" s="27">
        <f t="shared" si="0"/>
        <v>250000</v>
      </c>
      <c r="K23" s="28">
        <f t="shared" si="2"/>
        <v>0</v>
      </c>
      <c r="L23" s="26">
        <f t="shared" si="2"/>
        <v>0</v>
      </c>
      <c r="M23" s="26">
        <f t="shared" si="2"/>
        <v>0</v>
      </c>
      <c r="N23" s="28">
        <f t="shared" si="2"/>
        <v>0</v>
      </c>
      <c r="P23" s="290"/>
      <c r="Q23" s="290"/>
    </row>
    <row r="24" spans="1:17" ht="19.5" customHeight="1">
      <c r="A24" s="311"/>
      <c r="B24" s="22">
        <v>80148</v>
      </c>
      <c r="C24" s="23" t="s">
        <v>590</v>
      </c>
      <c r="D24" s="24"/>
      <c r="E24" s="25">
        <f t="shared" si="1"/>
        <v>32100</v>
      </c>
      <c r="F24" s="28">
        <f>F92</f>
        <v>0</v>
      </c>
      <c r="G24" s="28">
        <f>G92</f>
        <v>32100</v>
      </c>
      <c r="H24" s="28">
        <f>H92</f>
        <v>0</v>
      </c>
      <c r="I24" s="28">
        <f>I92</f>
        <v>0</v>
      </c>
      <c r="J24" s="27">
        <f t="shared" si="0"/>
        <v>32100</v>
      </c>
      <c r="K24" s="28">
        <f>K92</f>
        <v>0</v>
      </c>
      <c r="L24" s="26">
        <f>L92</f>
        <v>0</v>
      </c>
      <c r="M24" s="26">
        <f>M92</f>
        <v>0</v>
      </c>
      <c r="N24" s="28">
        <f>N92</f>
        <v>0</v>
      </c>
      <c r="P24" s="290"/>
      <c r="Q24" s="290"/>
    </row>
    <row r="25" spans="1:17" ht="19.5" customHeight="1">
      <c r="A25" s="311"/>
      <c r="B25" s="22" t="str">
        <f>RIGHT(B97,5)</f>
        <v>85154</v>
      </c>
      <c r="C25" s="23" t="s">
        <v>44</v>
      </c>
      <c r="D25" s="24"/>
      <c r="E25" s="25">
        <f t="shared" si="1"/>
        <v>267000</v>
      </c>
      <c r="F25" s="28">
        <f>F97</f>
        <v>67000</v>
      </c>
      <c r="G25" s="28">
        <f>G97</f>
        <v>200000</v>
      </c>
      <c r="H25" s="28">
        <f>H97</f>
        <v>0</v>
      </c>
      <c r="I25" s="28">
        <f>I97</f>
        <v>0</v>
      </c>
      <c r="J25" s="27">
        <f t="shared" si="0"/>
        <v>267000</v>
      </c>
      <c r="K25" s="28">
        <f>K97</f>
        <v>0</v>
      </c>
      <c r="L25" s="26">
        <f>L97</f>
        <v>0</v>
      </c>
      <c r="M25" s="26">
        <f>M97</f>
        <v>0</v>
      </c>
      <c r="N25" s="28">
        <f>N97</f>
        <v>0</v>
      </c>
      <c r="P25" s="290"/>
      <c r="Q25" s="290"/>
    </row>
    <row r="26" spans="1:17" ht="19.5" customHeight="1">
      <c r="A26" s="311"/>
      <c r="B26" s="22">
        <v>85203</v>
      </c>
      <c r="C26" s="23" t="s">
        <v>222</v>
      </c>
      <c r="D26" s="24"/>
      <c r="E26" s="25">
        <f t="shared" si="1"/>
        <v>20000</v>
      </c>
      <c r="F26" s="28">
        <f>F100</f>
        <v>0</v>
      </c>
      <c r="G26" s="28">
        <f>G100</f>
        <v>20000</v>
      </c>
      <c r="H26" s="28">
        <f>H100</f>
        <v>0</v>
      </c>
      <c r="I26" s="28">
        <f>I100</f>
        <v>0</v>
      </c>
      <c r="J26" s="27">
        <f t="shared" si="0"/>
        <v>20000</v>
      </c>
      <c r="K26" s="28">
        <f>K100</f>
        <v>0</v>
      </c>
      <c r="L26" s="26">
        <f>L100</f>
        <v>0</v>
      </c>
      <c r="M26" s="26">
        <f>M100</f>
        <v>0</v>
      </c>
      <c r="N26" s="28">
        <f>N100</f>
        <v>0</v>
      </c>
      <c r="P26" s="290"/>
      <c r="Q26" s="290"/>
    </row>
    <row r="27" spans="1:14" ht="19.5" customHeight="1">
      <c r="A27" s="311"/>
      <c r="B27" s="22" t="str">
        <f>RIGHT(B102,5)</f>
        <v>85219</v>
      </c>
      <c r="C27" s="23" t="s">
        <v>268</v>
      </c>
      <c r="D27" s="24"/>
      <c r="E27" s="25">
        <f>SUM(F27:I27)</f>
        <v>30000</v>
      </c>
      <c r="F27" s="26">
        <f>F102</f>
        <v>0</v>
      </c>
      <c r="G27" s="26">
        <f>G102</f>
        <v>30000</v>
      </c>
      <c r="H27" s="26">
        <f>H102</f>
        <v>0</v>
      </c>
      <c r="I27" s="28">
        <f>I102</f>
        <v>0</v>
      </c>
      <c r="J27" s="27">
        <f t="shared" si="0"/>
        <v>30000</v>
      </c>
      <c r="K27" s="295">
        <f>K102</f>
        <v>0</v>
      </c>
      <c r="L27" s="26">
        <f>L102</f>
        <v>0</v>
      </c>
      <c r="M27" s="26">
        <f>M102</f>
        <v>0</v>
      </c>
      <c r="N27" s="26">
        <f>N102</f>
        <v>0</v>
      </c>
    </row>
    <row r="28" spans="1:14" ht="19.5" customHeight="1">
      <c r="A28" s="311"/>
      <c r="B28" s="22">
        <v>85305</v>
      </c>
      <c r="C28" s="23" t="s">
        <v>132</v>
      </c>
      <c r="D28" s="24"/>
      <c r="E28" s="25">
        <f>SUM(F28:I28)</f>
        <v>25000</v>
      </c>
      <c r="F28" s="26">
        <f>F104</f>
        <v>0</v>
      </c>
      <c r="G28" s="26">
        <f aca="true" t="shared" si="3" ref="G28:N28">G104</f>
        <v>25000</v>
      </c>
      <c r="H28" s="26">
        <f t="shared" si="3"/>
        <v>0</v>
      </c>
      <c r="I28" s="26">
        <f t="shared" si="3"/>
        <v>0</v>
      </c>
      <c r="J28" s="27">
        <f t="shared" si="0"/>
        <v>25000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</row>
    <row r="29" spans="1:14" ht="19.5" customHeight="1">
      <c r="A29" s="311"/>
      <c r="B29" s="22">
        <v>85401</v>
      </c>
      <c r="C29" s="23" t="s">
        <v>583</v>
      </c>
      <c r="D29" s="24"/>
      <c r="E29" s="25">
        <f>SUM(F29:I29)</f>
        <v>12000</v>
      </c>
      <c r="F29" s="26">
        <f>F106</f>
        <v>0</v>
      </c>
      <c r="G29" s="26">
        <f>G106</f>
        <v>12000</v>
      </c>
      <c r="H29" s="26">
        <f>H106</f>
        <v>0</v>
      </c>
      <c r="I29" s="26">
        <f>I106</f>
        <v>0</v>
      </c>
      <c r="J29" s="27">
        <f t="shared" si="0"/>
        <v>12000</v>
      </c>
      <c r="K29" s="26">
        <f>K106</f>
        <v>0</v>
      </c>
      <c r="L29" s="26">
        <f>L106</f>
        <v>0</v>
      </c>
      <c r="M29" s="26">
        <f>M106</f>
        <v>0</v>
      </c>
      <c r="N29" s="26">
        <f>N106</f>
        <v>0</v>
      </c>
    </row>
    <row r="30" spans="1:14" ht="19.5" customHeight="1">
      <c r="A30" s="311"/>
      <c r="B30" s="22" t="str">
        <f>RIGHT(B108,5)</f>
        <v>90001</v>
      </c>
      <c r="C30" s="23" t="s">
        <v>269</v>
      </c>
      <c r="D30" s="24"/>
      <c r="E30" s="25">
        <f t="shared" si="1"/>
        <v>1070000</v>
      </c>
      <c r="F30" s="26">
        <f>F108</f>
        <v>0</v>
      </c>
      <c r="G30" s="26">
        <f>G108</f>
        <v>1070000</v>
      </c>
      <c r="H30" s="26">
        <f>H108</f>
        <v>0</v>
      </c>
      <c r="I30" s="28">
        <f>I108</f>
        <v>0</v>
      </c>
      <c r="J30" s="27">
        <f t="shared" si="0"/>
        <v>1070000</v>
      </c>
      <c r="K30" s="295">
        <f>K108</f>
        <v>0</v>
      </c>
      <c r="L30" s="26">
        <f>L108</f>
        <v>0</v>
      </c>
      <c r="M30" s="26">
        <f>M108</f>
        <v>0</v>
      </c>
      <c r="N30" s="97">
        <f>N108</f>
        <v>640</v>
      </c>
    </row>
    <row r="31" spans="1:17" ht="19.5" customHeight="1">
      <c r="A31" s="311"/>
      <c r="B31" s="22" t="str">
        <f>RIGHT(B110,5)</f>
        <v>90013</v>
      </c>
      <c r="C31" s="23" t="s">
        <v>270</v>
      </c>
      <c r="D31" s="24"/>
      <c r="E31" s="25">
        <f t="shared" si="1"/>
        <v>1000000</v>
      </c>
      <c r="F31" s="26">
        <f>F110</f>
        <v>0</v>
      </c>
      <c r="G31" s="26">
        <f>G110</f>
        <v>1000000</v>
      </c>
      <c r="H31" s="26">
        <f>H110</f>
        <v>0</v>
      </c>
      <c r="I31" s="28">
        <f>I110</f>
        <v>0</v>
      </c>
      <c r="J31" s="27">
        <f t="shared" si="0"/>
        <v>1000000</v>
      </c>
      <c r="K31" s="295">
        <f>K110</f>
        <v>0</v>
      </c>
      <c r="L31" s="26">
        <f>L110</f>
        <v>0</v>
      </c>
      <c r="M31" s="26">
        <f>M110</f>
        <v>0</v>
      </c>
      <c r="N31" s="97">
        <f>N110</f>
        <v>2744</v>
      </c>
      <c r="Q31" s="138" t="s">
        <v>546</v>
      </c>
    </row>
    <row r="32" spans="1:17" ht="19.5" customHeight="1">
      <c r="A32" s="311"/>
      <c r="B32" s="22" t="str">
        <f>RIGHT(B112,5)</f>
        <v>90015</v>
      </c>
      <c r="C32" s="23" t="s">
        <v>271</v>
      </c>
      <c r="D32" s="24"/>
      <c r="E32" s="25">
        <f t="shared" si="1"/>
        <v>1256000</v>
      </c>
      <c r="F32" s="26">
        <f>F112</f>
        <v>0</v>
      </c>
      <c r="G32" s="26">
        <f>G112</f>
        <v>1256000</v>
      </c>
      <c r="H32" s="26">
        <f>H112</f>
        <v>0</v>
      </c>
      <c r="I32" s="28">
        <f>I112</f>
        <v>0</v>
      </c>
      <c r="J32" s="27">
        <f t="shared" si="0"/>
        <v>1256000</v>
      </c>
      <c r="K32" s="295">
        <f>K112</f>
        <v>0</v>
      </c>
      <c r="L32" s="26">
        <f>L112</f>
        <v>0</v>
      </c>
      <c r="M32" s="26">
        <f>M112</f>
        <v>0</v>
      </c>
      <c r="N32" s="97">
        <f>N112</f>
        <v>0</v>
      </c>
      <c r="P32" s="138">
        <v>0</v>
      </c>
      <c r="Q32" s="138" t="s">
        <v>543</v>
      </c>
    </row>
    <row r="33" spans="1:16" ht="19.5" customHeight="1">
      <c r="A33" s="311"/>
      <c r="B33" s="22" t="str">
        <f>RIGHT(B117,5)</f>
        <v>90095</v>
      </c>
      <c r="C33" s="23" t="s">
        <v>272</v>
      </c>
      <c r="D33" s="24"/>
      <c r="E33" s="25">
        <f t="shared" si="1"/>
        <v>21575000</v>
      </c>
      <c r="F33" s="26">
        <f>F117</f>
        <v>84000</v>
      </c>
      <c r="G33" s="26">
        <f aca="true" t="shared" si="4" ref="G33:N33">G117</f>
        <v>11446393</v>
      </c>
      <c r="H33" s="26">
        <f t="shared" si="4"/>
        <v>520000</v>
      </c>
      <c r="I33" s="26">
        <f t="shared" si="4"/>
        <v>9524607</v>
      </c>
      <c r="J33" s="27">
        <f t="shared" si="0"/>
        <v>21705000</v>
      </c>
      <c r="K33" s="26">
        <f t="shared" si="4"/>
        <v>130000</v>
      </c>
      <c r="L33" s="26">
        <f t="shared" si="4"/>
        <v>0</v>
      </c>
      <c r="M33" s="26">
        <f t="shared" si="4"/>
        <v>0</v>
      </c>
      <c r="N33" s="26">
        <f t="shared" si="4"/>
        <v>8520</v>
      </c>
      <c r="P33" s="138">
        <f>SUM(P27:P32)</f>
        <v>0</v>
      </c>
    </row>
    <row r="34" spans="1:19" ht="24.75" customHeight="1">
      <c r="A34" s="311"/>
      <c r="B34" s="22">
        <v>92195</v>
      </c>
      <c r="C34" s="23" t="s">
        <v>226</v>
      </c>
      <c r="D34" s="24"/>
      <c r="E34" s="25">
        <f t="shared" si="1"/>
        <v>6281587</v>
      </c>
      <c r="F34" s="26">
        <f>F150</f>
        <v>0</v>
      </c>
      <c r="G34" s="26">
        <f>G150</f>
        <v>5391728</v>
      </c>
      <c r="H34" s="26">
        <f>H150</f>
        <v>0</v>
      </c>
      <c r="I34" s="26">
        <f>I150</f>
        <v>889859</v>
      </c>
      <c r="J34" s="27">
        <f t="shared" si="0"/>
        <v>7063321</v>
      </c>
      <c r="K34" s="26">
        <f>K150</f>
        <v>0</v>
      </c>
      <c r="L34" s="26">
        <f>L150</f>
        <v>0</v>
      </c>
      <c r="M34" s="26">
        <f>M150</f>
        <v>781734</v>
      </c>
      <c r="N34" s="26">
        <f>N150</f>
        <v>6045</v>
      </c>
      <c r="R34" s="138"/>
      <c r="S34" s="138"/>
    </row>
    <row r="35" spans="1:19" ht="19.5" customHeight="1">
      <c r="A35" s="311"/>
      <c r="B35" s="22" t="str">
        <f>RIGHT(B155,5)</f>
        <v>92601</v>
      </c>
      <c r="C35" s="23" t="s">
        <v>1</v>
      </c>
      <c r="D35" s="24"/>
      <c r="E35" s="25">
        <f t="shared" si="1"/>
        <v>1269000</v>
      </c>
      <c r="F35" s="26">
        <f>F155</f>
        <v>0</v>
      </c>
      <c r="G35" s="26">
        <f>G155</f>
        <v>1269000</v>
      </c>
      <c r="H35" s="26">
        <f>H155</f>
        <v>0</v>
      </c>
      <c r="I35" s="26">
        <f>I155</f>
        <v>0</v>
      </c>
      <c r="J35" s="27">
        <f t="shared" si="0"/>
        <v>1269000</v>
      </c>
      <c r="K35" s="295">
        <f>K155</f>
        <v>0</v>
      </c>
      <c r="L35" s="26">
        <f>L155</f>
        <v>0</v>
      </c>
      <c r="M35" s="26">
        <f>M155</f>
        <v>0</v>
      </c>
      <c r="N35" s="26">
        <f>N155</f>
        <v>4400</v>
      </c>
      <c r="R35" s="138"/>
      <c r="S35" s="138"/>
    </row>
    <row r="36" spans="1:19" ht="19.5" customHeight="1">
      <c r="A36" s="311"/>
      <c r="B36" s="22" t="str">
        <f>RIGHT(B160,5)</f>
        <v>92604</v>
      </c>
      <c r="C36" s="23" t="s">
        <v>274</v>
      </c>
      <c r="D36" s="24"/>
      <c r="E36" s="25">
        <f t="shared" si="1"/>
        <v>500000</v>
      </c>
      <c r="F36" s="26">
        <f>F160</f>
        <v>0</v>
      </c>
      <c r="G36" s="26">
        <f>G160</f>
        <v>500000</v>
      </c>
      <c r="H36" s="26">
        <f>H160</f>
        <v>0</v>
      </c>
      <c r="I36" s="28">
        <f>I160</f>
        <v>0</v>
      </c>
      <c r="J36" s="27">
        <f t="shared" si="0"/>
        <v>500000</v>
      </c>
      <c r="K36" s="295">
        <f>K160</f>
        <v>0</v>
      </c>
      <c r="L36" s="26">
        <f>L160</f>
        <v>0</v>
      </c>
      <c r="M36" s="26">
        <f>M160</f>
        <v>0</v>
      </c>
      <c r="N36" s="97">
        <f>N160</f>
        <v>0</v>
      </c>
      <c r="R36" s="138"/>
      <c r="S36" s="138"/>
    </row>
    <row r="37" spans="1:15" ht="25.5" customHeight="1">
      <c r="A37" s="6"/>
      <c r="B37" s="3" t="s">
        <v>340</v>
      </c>
      <c r="C37" s="6" t="s">
        <v>342</v>
      </c>
      <c r="D37" s="96"/>
      <c r="E37" s="38">
        <f>SUM(F37:I37)</f>
        <v>80000</v>
      </c>
      <c r="F37" s="11">
        <f>SUM(F38:F38)</f>
        <v>0</v>
      </c>
      <c r="G37" s="11">
        <f>SUM(G38:G38)</f>
        <v>80000</v>
      </c>
      <c r="H37" s="11">
        <f>SUM(H38:H38)</f>
        <v>0</v>
      </c>
      <c r="I37" s="12">
        <f>SUM(I38:I38)</f>
        <v>0</v>
      </c>
      <c r="J37" s="20">
        <f t="shared" si="0"/>
        <v>80000</v>
      </c>
      <c r="K37" s="77">
        <f>SUM(K38:K38)</f>
        <v>0</v>
      </c>
      <c r="L37" s="11">
        <f>SUM(L38:L38)</f>
        <v>0</v>
      </c>
      <c r="M37" s="11">
        <f>SUM(M38:M38)</f>
        <v>0</v>
      </c>
      <c r="N37" s="11">
        <f>SUM(N38:N38)</f>
        <v>0</v>
      </c>
      <c r="O37" s="327"/>
    </row>
    <row r="38" spans="1:15" ht="18.75" customHeight="1">
      <c r="A38" s="37" t="s">
        <v>278</v>
      </c>
      <c r="B38" s="22" t="s">
        <v>329</v>
      </c>
      <c r="C38" s="23" t="s">
        <v>343</v>
      </c>
      <c r="D38" s="60">
        <v>2008</v>
      </c>
      <c r="E38" s="83">
        <f>SUM(F38:I38)</f>
        <v>80000</v>
      </c>
      <c r="F38" s="69">
        <v>0</v>
      </c>
      <c r="G38" s="69">
        <v>80000</v>
      </c>
      <c r="H38" s="69">
        <v>0</v>
      </c>
      <c r="I38" s="70">
        <v>0</v>
      </c>
      <c r="J38" s="27">
        <f t="shared" si="0"/>
        <v>80000</v>
      </c>
      <c r="K38" s="71">
        <v>0</v>
      </c>
      <c r="L38" s="26">
        <v>0</v>
      </c>
      <c r="M38" s="26">
        <v>0</v>
      </c>
      <c r="N38" s="97"/>
      <c r="O38" s="327"/>
    </row>
    <row r="39" spans="1:19" ht="26.25" customHeight="1">
      <c r="A39" s="37"/>
      <c r="B39" s="3" t="s">
        <v>276</v>
      </c>
      <c r="C39" s="6" t="s">
        <v>277</v>
      </c>
      <c r="D39" s="9"/>
      <c r="E39" s="38">
        <f>SUM(F39:I39)</f>
        <v>15847000</v>
      </c>
      <c r="F39" s="11">
        <f>F40+F41+F42+F43+F48+F52+F53+F54+F55+F56+F57+F58+F59+F60</f>
        <v>0</v>
      </c>
      <c r="G39" s="11">
        <f>G40+G41+G42+G43+G48+G52+G53+G54+G55+G56+G57+G58+G59+G60</f>
        <v>9197000</v>
      </c>
      <c r="H39" s="11">
        <f>H40+H41+H42+H43+H48+H52+H53+H54+H55+H56+H57+H58+H59+H60</f>
        <v>0</v>
      </c>
      <c r="I39" s="11">
        <f>I40+I41+I42+I43+I48+I52+I53+I54+I55+I56+I57+I58+I59+I60</f>
        <v>6650000</v>
      </c>
      <c r="J39" s="36">
        <f>E39+K39+L39+M39</f>
        <v>15847000</v>
      </c>
      <c r="K39" s="11">
        <f>K40+K41+K42+K43+K48+K52+K53+K54+K55+K56+K57+K58+K59+K60</f>
        <v>0</v>
      </c>
      <c r="L39" s="11">
        <f>L40+L41+L42+L43+L48+L52+L53+L54+L55+L56+L57+L58+L59+L60</f>
        <v>0</v>
      </c>
      <c r="M39" s="11">
        <f>M40+M41+M42+M43+M48+M52+M53+M54+M55+M56+M57+M58+M59+M60</f>
        <v>0</v>
      </c>
      <c r="N39" s="11">
        <f>N40+N41+N42+N43+N48+N52+N53+N54+N55+N56+N57+N58+N59+N60</f>
        <v>12664</v>
      </c>
      <c r="Q39" s="138" t="s">
        <v>548</v>
      </c>
      <c r="R39" s="138">
        <v>0</v>
      </c>
      <c r="S39" s="138"/>
    </row>
    <row r="40" spans="1:19" ht="60.75" customHeight="1">
      <c r="A40" s="41" t="s">
        <v>278</v>
      </c>
      <c r="B40" s="39" t="s">
        <v>283</v>
      </c>
      <c r="C40" s="291" t="s">
        <v>529</v>
      </c>
      <c r="D40" s="42" t="s">
        <v>525</v>
      </c>
      <c r="E40" s="43">
        <f t="shared" si="1"/>
        <v>2300000</v>
      </c>
      <c r="F40" s="44">
        <v>0</v>
      </c>
      <c r="G40" s="44">
        <f>1635000+30000</f>
        <v>1665000</v>
      </c>
      <c r="H40" s="44">
        <v>0</v>
      </c>
      <c r="I40" s="45">
        <v>635000</v>
      </c>
      <c r="J40" s="46">
        <f t="shared" si="0"/>
        <v>2300000</v>
      </c>
      <c r="K40" s="47">
        <v>0</v>
      </c>
      <c r="L40" s="44">
        <v>0</v>
      </c>
      <c r="M40" s="44"/>
      <c r="N40" s="97">
        <v>2270</v>
      </c>
      <c r="Q40" s="138" t="s">
        <v>549</v>
      </c>
      <c r="R40" s="138">
        <v>120000</v>
      </c>
      <c r="S40" s="138"/>
    </row>
    <row r="41" spans="1:19" ht="26.25" customHeight="1">
      <c r="A41" s="41" t="s">
        <v>280</v>
      </c>
      <c r="B41" s="50" t="s">
        <v>283</v>
      </c>
      <c r="C41" s="51" t="s">
        <v>591</v>
      </c>
      <c r="D41" s="52" t="s">
        <v>121</v>
      </c>
      <c r="E41" s="61">
        <f t="shared" si="1"/>
        <v>639000</v>
      </c>
      <c r="F41" s="54">
        <v>0</v>
      </c>
      <c r="G41" s="54">
        <v>639000</v>
      </c>
      <c r="H41" s="54">
        <v>0</v>
      </c>
      <c r="I41" s="55">
        <v>0</v>
      </c>
      <c r="J41" s="56">
        <f>E41+K41+L41+M41</f>
        <v>639000</v>
      </c>
      <c r="K41" s="57">
        <v>0</v>
      </c>
      <c r="L41" s="58">
        <v>0</v>
      </c>
      <c r="M41" s="58">
        <v>0</v>
      </c>
      <c r="N41" s="97">
        <v>1339</v>
      </c>
      <c r="Q41" s="138" t="s">
        <v>551</v>
      </c>
      <c r="R41" s="138">
        <v>2500</v>
      </c>
      <c r="S41" s="138"/>
    </row>
    <row r="42" spans="1:19" ht="61.5" customHeight="1">
      <c r="A42" s="41" t="s">
        <v>282</v>
      </c>
      <c r="B42" s="39" t="s">
        <v>283</v>
      </c>
      <c r="C42" s="23" t="s">
        <v>162</v>
      </c>
      <c r="D42" s="68" t="s">
        <v>524</v>
      </c>
      <c r="E42" s="25">
        <f t="shared" si="1"/>
        <v>100000</v>
      </c>
      <c r="F42" s="69">
        <v>0</v>
      </c>
      <c r="G42" s="69">
        <v>100000</v>
      </c>
      <c r="H42" s="69"/>
      <c r="I42" s="70"/>
      <c r="J42" s="27">
        <f>E42+K42+L42+M42</f>
        <v>100000</v>
      </c>
      <c r="K42" s="71">
        <v>0</v>
      </c>
      <c r="L42" s="26">
        <v>0</v>
      </c>
      <c r="M42" s="26">
        <v>0</v>
      </c>
      <c r="N42" s="97">
        <v>100</v>
      </c>
      <c r="R42" s="138"/>
      <c r="S42" s="138"/>
    </row>
    <row r="43" spans="1:14" ht="27" customHeight="1">
      <c r="A43" s="422" t="s">
        <v>284</v>
      </c>
      <c r="B43" s="50" t="s">
        <v>283</v>
      </c>
      <c r="C43" s="425" t="s">
        <v>82</v>
      </c>
      <c r="D43" s="52" t="s">
        <v>544</v>
      </c>
      <c r="E43" s="61">
        <f t="shared" si="1"/>
        <v>965000</v>
      </c>
      <c r="F43" s="54">
        <v>0</v>
      </c>
      <c r="G43" s="54">
        <v>965000</v>
      </c>
      <c r="H43" s="54"/>
      <c r="I43" s="55"/>
      <c r="J43" s="56">
        <f aca="true" t="shared" si="5" ref="J43:J63">E43+K43+L43+M43</f>
        <v>965000</v>
      </c>
      <c r="K43" s="57">
        <v>0</v>
      </c>
      <c r="L43" s="58">
        <v>0</v>
      </c>
      <c r="M43" s="58">
        <v>0</v>
      </c>
      <c r="N43" s="405">
        <v>965</v>
      </c>
    </row>
    <row r="44" spans="1:14" ht="9" customHeight="1">
      <c r="A44" s="424"/>
      <c r="B44" s="140"/>
      <c r="C44" s="427"/>
      <c r="D44" s="60"/>
      <c r="E44" s="62"/>
      <c r="F44" s="63"/>
      <c r="G44" s="63"/>
      <c r="H44" s="63"/>
      <c r="I44" s="64"/>
      <c r="J44" s="65"/>
      <c r="K44" s="66"/>
      <c r="L44" s="32"/>
      <c r="M44" s="32"/>
      <c r="N44" s="100"/>
    </row>
    <row r="45" spans="1:14" ht="13.5" customHeight="1">
      <c r="A45" s="422" t="s">
        <v>286</v>
      </c>
      <c r="B45" s="39" t="s">
        <v>319</v>
      </c>
      <c r="C45" s="500" t="s">
        <v>447</v>
      </c>
      <c r="D45" s="485" t="s">
        <v>531</v>
      </c>
      <c r="E45" s="25">
        <f t="shared" si="1"/>
        <v>4740000</v>
      </c>
      <c r="F45" s="69"/>
      <c r="G45" s="69"/>
      <c r="H45" s="69"/>
      <c r="I45" s="70">
        <v>4740000</v>
      </c>
      <c r="J45" s="27">
        <f t="shared" si="5"/>
        <v>4740000</v>
      </c>
      <c r="K45" s="71"/>
      <c r="L45" s="26"/>
      <c r="M45" s="26"/>
      <c r="N45" s="97"/>
    </row>
    <row r="46" spans="1:14" ht="15" customHeight="1">
      <c r="A46" s="423"/>
      <c r="B46" s="39" t="s">
        <v>370</v>
      </c>
      <c r="C46" s="501"/>
      <c r="D46" s="486"/>
      <c r="E46" s="25">
        <f t="shared" si="1"/>
        <v>1185000</v>
      </c>
      <c r="F46" s="69">
        <v>0</v>
      </c>
      <c r="G46" s="69">
        <v>1185000</v>
      </c>
      <c r="H46" s="69"/>
      <c r="I46" s="70"/>
      <c r="J46" s="27"/>
      <c r="K46" s="71"/>
      <c r="L46" s="26"/>
      <c r="M46" s="26"/>
      <c r="N46" s="97"/>
    </row>
    <row r="47" spans="1:14" ht="14.25" customHeight="1">
      <c r="A47" s="423"/>
      <c r="B47" s="39" t="s">
        <v>283</v>
      </c>
      <c r="C47" s="501"/>
      <c r="D47" s="486"/>
      <c r="E47" s="25">
        <f t="shared" si="1"/>
        <v>435000</v>
      </c>
      <c r="F47" s="69">
        <v>0</v>
      </c>
      <c r="G47" s="69">
        <f>395000+40000</f>
        <v>435000</v>
      </c>
      <c r="H47" s="69"/>
      <c r="I47" s="70"/>
      <c r="J47" s="27"/>
      <c r="K47" s="71"/>
      <c r="L47" s="26"/>
      <c r="M47" s="26"/>
      <c r="N47" s="97"/>
    </row>
    <row r="48" spans="1:14" ht="17.25" customHeight="1">
      <c r="A48" s="463"/>
      <c r="B48" s="3" t="s">
        <v>101</v>
      </c>
      <c r="C48" s="427"/>
      <c r="D48" s="487"/>
      <c r="E48" s="38">
        <f>SUM(E45:E47)</f>
        <v>6360000</v>
      </c>
      <c r="F48" s="19">
        <f>SUM(F45:F47)</f>
        <v>0</v>
      </c>
      <c r="G48" s="19">
        <f>SUM(G45:G47)</f>
        <v>1620000</v>
      </c>
      <c r="H48" s="19">
        <f>SUM(H45:H47)</f>
        <v>0</v>
      </c>
      <c r="I48" s="19">
        <f>SUM(I45:I47)</f>
        <v>4740000</v>
      </c>
      <c r="J48" s="27"/>
      <c r="K48" s="71"/>
      <c r="L48" s="26"/>
      <c r="M48" s="26"/>
      <c r="N48" s="97">
        <v>4740</v>
      </c>
    </row>
    <row r="49" spans="1:14" ht="12.75" customHeight="1">
      <c r="A49" s="422" t="s">
        <v>287</v>
      </c>
      <c r="B49" s="39" t="s">
        <v>319</v>
      </c>
      <c r="C49" s="500" t="s">
        <v>163</v>
      </c>
      <c r="D49" s="485" t="s">
        <v>575</v>
      </c>
      <c r="E49" s="25">
        <f t="shared" si="1"/>
        <v>1275000</v>
      </c>
      <c r="F49" s="69"/>
      <c r="G49" s="69"/>
      <c r="H49" s="69"/>
      <c r="I49" s="70">
        <v>1275000</v>
      </c>
      <c r="J49" s="27">
        <f t="shared" si="5"/>
        <v>1275000</v>
      </c>
      <c r="K49" s="71"/>
      <c r="L49" s="26"/>
      <c r="M49" s="26"/>
      <c r="N49" s="97"/>
    </row>
    <row r="50" spans="1:14" ht="13.5" customHeight="1">
      <c r="A50" s="423"/>
      <c r="B50" s="39" t="s">
        <v>370</v>
      </c>
      <c r="C50" s="501"/>
      <c r="D50" s="486"/>
      <c r="E50" s="25">
        <f t="shared" si="1"/>
        <v>320000</v>
      </c>
      <c r="F50" s="69">
        <v>0</v>
      </c>
      <c r="G50" s="69">
        <v>320000</v>
      </c>
      <c r="H50" s="69"/>
      <c r="I50" s="70"/>
      <c r="J50" s="27">
        <f t="shared" si="5"/>
        <v>320000</v>
      </c>
      <c r="K50" s="71"/>
      <c r="L50" s="26"/>
      <c r="M50" s="26"/>
      <c r="N50" s="97"/>
    </row>
    <row r="51" spans="1:14" ht="14.25" customHeight="1">
      <c r="A51" s="423"/>
      <c r="B51" s="39" t="s">
        <v>283</v>
      </c>
      <c r="C51" s="501"/>
      <c r="D51" s="486"/>
      <c r="E51" s="25">
        <f t="shared" si="1"/>
        <v>225000</v>
      </c>
      <c r="F51" s="69">
        <v>0</v>
      </c>
      <c r="G51" s="69">
        <f>105000+120000</f>
        <v>225000</v>
      </c>
      <c r="H51" s="69"/>
      <c r="I51" s="70"/>
      <c r="J51" s="27">
        <f t="shared" si="5"/>
        <v>225000</v>
      </c>
      <c r="K51" s="71"/>
      <c r="L51" s="26"/>
      <c r="M51" s="26"/>
      <c r="N51" s="97"/>
    </row>
    <row r="52" spans="1:14" ht="17.25" customHeight="1">
      <c r="A52" s="424"/>
      <c r="B52" s="3" t="s">
        <v>101</v>
      </c>
      <c r="C52" s="502"/>
      <c r="D52" s="487"/>
      <c r="E52" s="38">
        <f t="shared" si="1"/>
        <v>1820000</v>
      </c>
      <c r="F52" s="11">
        <f>SUM(F49:F51)</f>
        <v>0</v>
      </c>
      <c r="G52" s="11">
        <f>SUM(G49:G51)</f>
        <v>545000</v>
      </c>
      <c r="H52" s="11">
        <f>SUM(H49:H51)</f>
        <v>0</v>
      </c>
      <c r="I52" s="11">
        <f>SUM(I49:I51)</f>
        <v>1275000</v>
      </c>
      <c r="J52" s="20">
        <f t="shared" si="5"/>
        <v>1820000</v>
      </c>
      <c r="K52" s="69">
        <f>SUM(K49:K51)</f>
        <v>0</v>
      </c>
      <c r="L52" s="69">
        <f>SUM(L49:L51)</f>
        <v>0</v>
      </c>
      <c r="M52" s="69">
        <f>SUM(M49:M51)</f>
        <v>0</v>
      </c>
      <c r="N52" s="69">
        <v>1700</v>
      </c>
    </row>
    <row r="53" spans="1:15" ht="25.5" customHeight="1">
      <c r="A53" s="41" t="s">
        <v>288</v>
      </c>
      <c r="B53" s="95" t="s">
        <v>29</v>
      </c>
      <c r="C53" s="30" t="s">
        <v>30</v>
      </c>
      <c r="D53" s="60" t="s">
        <v>437</v>
      </c>
      <c r="E53" s="83">
        <f aca="true" t="shared" si="6" ref="E53:E96">SUM(F53:I53)</f>
        <v>1288000</v>
      </c>
      <c r="F53" s="63">
        <v>0</v>
      </c>
      <c r="G53" s="63">
        <f>1000000+288000</f>
        <v>1288000</v>
      </c>
      <c r="H53" s="63"/>
      <c r="I53" s="64"/>
      <c r="J53" s="27">
        <f t="shared" si="5"/>
        <v>1288000</v>
      </c>
      <c r="K53" s="66"/>
      <c r="L53" s="32"/>
      <c r="M53" s="32"/>
      <c r="N53" s="100">
        <v>1000</v>
      </c>
      <c r="O53" s="327"/>
    </row>
    <row r="54" spans="1:15" ht="25.5" customHeight="1">
      <c r="A54" s="41" t="s">
        <v>290</v>
      </c>
      <c r="B54" s="95" t="s">
        <v>29</v>
      </c>
      <c r="C54" s="30" t="s">
        <v>75</v>
      </c>
      <c r="D54" s="60" t="s">
        <v>578</v>
      </c>
      <c r="E54" s="83">
        <f t="shared" si="6"/>
        <v>610000</v>
      </c>
      <c r="F54" s="63">
        <v>0</v>
      </c>
      <c r="G54" s="63">
        <v>610000</v>
      </c>
      <c r="H54" s="63"/>
      <c r="I54" s="64"/>
      <c r="J54" s="27">
        <f t="shared" si="5"/>
        <v>610000</v>
      </c>
      <c r="K54" s="66"/>
      <c r="L54" s="32"/>
      <c r="M54" s="32"/>
      <c r="N54" s="100">
        <v>550</v>
      </c>
      <c r="O54" s="327"/>
    </row>
    <row r="55" spans="1:14" ht="20.25" customHeight="1">
      <c r="A55" s="41" t="s">
        <v>291</v>
      </c>
      <c r="B55" s="95" t="s">
        <v>29</v>
      </c>
      <c r="C55" s="30" t="s">
        <v>149</v>
      </c>
      <c r="D55" s="68">
        <v>2008</v>
      </c>
      <c r="E55" s="62">
        <f t="shared" si="6"/>
        <v>150000</v>
      </c>
      <c r="F55" s="32"/>
      <c r="G55" s="32">
        <v>150000</v>
      </c>
      <c r="H55" s="32"/>
      <c r="I55" s="73"/>
      <c r="J55" s="27">
        <f t="shared" si="5"/>
        <v>150000</v>
      </c>
      <c r="K55" s="66"/>
      <c r="L55" s="32"/>
      <c r="M55" s="32"/>
      <c r="N55" s="100"/>
    </row>
    <row r="56" spans="1:14" ht="19.5" customHeight="1">
      <c r="A56" s="41" t="s">
        <v>293</v>
      </c>
      <c r="B56" s="95" t="s">
        <v>29</v>
      </c>
      <c r="C56" s="30" t="s">
        <v>150</v>
      </c>
      <c r="D56" s="68">
        <v>2008</v>
      </c>
      <c r="E56" s="62">
        <f t="shared" si="6"/>
        <v>100000</v>
      </c>
      <c r="F56" s="32"/>
      <c r="G56" s="32">
        <v>100000</v>
      </c>
      <c r="H56" s="32"/>
      <c r="I56" s="73"/>
      <c r="J56" s="27">
        <f t="shared" si="5"/>
        <v>100000</v>
      </c>
      <c r="K56" s="66"/>
      <c r="L56" s="32"/>
      <c r="M56" s="32"/>
      <c r="N56" s="100"/>
    </row>
    <row r="57" spans="1:14" ht="26.25" customHeight="1">
      <c r="A57" s="41" t="s">
        <v>294</v>
      </c>
      <c r="B57" s="95" t="s">
        <v>29</v>
      </c>
      <c r="C57" s="30" t="s">
        <v>76</v>
      </c>
      <c r="D57" s="60">
        <v>2008</v>
      </c>
      <c r="E57" s="62">
        <f t="shared" si="6"/>
        <v>50000</v>
      </c>
      <c r="F57" s="32"/>
      <c r="G57" s="32">
        <v>50000</v>
      </c>
      <c r="H57" s="32"/>
      <c r="I57" s="73"/>
      <c r="J57" s="27">
        <f t="shared" si="5"/>
        <v>50000</v>
      </c>
      <c r="K57" s="66"/>
      <c r="L57" s="32"/>
      <c r="M57" s="32"/>
      <c r="N57" s="100"/>
    </row>
    <row r="58" spans="1:14" ht="19.5" customHeight="1">
      <c r="A58" s="41" t="s">
        <v>295</v>
      </c>
      <c r="B58" s="95" t="s">
        <v>29</v>
      </c>
      <c r="C58" s="30" t="s">
        <v>349</v>
      </c>
      <c r="D58" s="60" t="s">
        <v>232</v>
      </c>
      <c r="E58" s="62">
        <f>SUM(F58:I58)</f>
        <v>250000</v>
      </c>
      <c r="F58" s="32"/>
      <c r="G58" s="32">
        <v>250000</v>
      </c>
      <c r="H58" s="32"/>
      <c r="I58" s="73"/>
      <c r="J58" s="27">
        <f>E58+K58+L58+M58</f>
        <v>250000</v>
      </c>
      <c r="K58" s="66"/>
      <c r="L58" s="32"/>
      <c r="M58" s="32"/>
      <c r="N58" s="100"/>
    </row>
    <row r="59" spans="1:14" ht="37.5" customHeight="1">
      <c r="A59" s="41" t="s">
        <v>297</v>
      </c>
      <c r="B59" s="95" t="s">
        <v>29</v>
      </c>
      <c r="C59" s="30" t="s">
        <v>164</v>
      </c>
      <c r="D59" s="60">
        <v>2008</v>
      </c>
      <c r="E59" s="62">
        <f t="shared" si="6"/>
        <v>180000</v>
      </c>
      <c r="F59" s="32"/>
      <c r="G59" s="32">
        <v>180000</v>
      </c>
      <c r="H59" s="32"/>
      <c r="I59" s="73"/>
      <c r="J59" s="27">
        <f t="shared" si="5"/>
        <v>180000</v>
      </c>
      <c r="K59" s="66"/>
      <c r="L59" s="32"/>
      <c r="M59" s="32"/>
      <c r="N59" s="100"/>
    </row>
    <row r="60" spans="1:14" ht="87.75" customHeight="1">
      <c r="A60" s="37" t="s">
        <v>415</v>
      </c>
      <c r="B60" s="95" t="s">
        <v>283</v>
      </c>
      <c r="C60" s="30" t="s">
        <v>77</v>
      </c>
      <c r="D60" s="60" t="s">
        <v>212</v>
      </c>
      <c r="E60" s="62">
        <f t="shared" si="6"/>
        <v>1035000</v>
      </c>
      <c r="F60" s="32"/>
      <c r="G60" s="32">
        <f>1000000+35000</f>
        <v>1035000</v>
      </c>
      <c r="H60" s="32"/>
      <c r="I60" s="73">
        <v>0</v>
      </c>
      <c r="J60" s="27"/>
      <c r="K60" s="66">
        <v>0</v>
      </c>
      <c r="L60" s="32"/>
      <c r="M60" s="32"/>
      <c r="N60" s="100"/>
    </row>
    <row r="61" spans="1:15" ht="24.75" customHeight="1">
      <c r="A61" s="72"/>
      <c r="B61" s="34" t="s">
        <v>330</v>
      </c>
      <c r="C61" s="33" t="s">
        <v>331</v>
      </c>
      <c r="D61" s="31"/>
      <c r="E61" s="75">
        <f t="shared" si="6"/>
        <v>2800000</v>
      </c>
      <c r="F61" s="78">
        <f>SUM(F62:F63)</f>
        <v>0</v>
      </c>
      <c r="G61" s="78">
        <f>SUM(G62:G63)</f>
        <v>2800000</v>
      </c>
      <c r="H61" s="78">
        <f>SUM(H62:H63)</f>
        <v>0</v>
      </c>
      <c r="I61" s="78">
        <f>SUM(I62:I63)</f>
        <v>0</v>
      </c>
      <c r="J61" s="20">
        <f t="shared" si="5"/>
        <v>2800000</v>
      </c>
      <c r="K61" s="80">
        <f>SUM(K62)</f>
        <v>0</v>
      </c>
      <c r="L61" s="78">
        <f>SUM(L62)</f>
        <v>0</v>
      </c>
      <c r="M61" s="78">
        <f>SUM(M62)</f>
        <v>0</v>
      </c>
      <c r="N61" s="401">
        <f>SUM(N62:N63)</f>
        <v>1000</v>
      </c>
      <c r="O61" s="327"/>
    </row>
    <row r="62" spans="1:15" ht="25.5" customHeight="1">
      <c r="A62" s="37" t="s">
        <v>278</v>
      </c>
      <c r="B62" s="22" t="s">
        <v>329</v>
      </c>
      <c r="C62" s="23" t="s">
        <v>19</v>
      </c>
      <c r="D62" s="68">
        <v>2008</v>
      </c>
      <c r="E62" s="25">
        <f t="shared" si="6"/>
        <v>1800000</v>
      </c>
      <c r="F62" s="26"/>
      <c r="G62" s="26">
        <v>1800000</v>
      </c>
      <c r="H62" s="26"/>
      <c r="I62" s="28"/>
      <c r="J62" s="27">
        <f t="shared" si="5"/>
        <v>1800000</v>
      </c>
      <c r="K62" s="71"/>
      <c r="L62" s="26"/>
      <c r="M62" s="26"/>
      <c r="N62" s="97"/>
      <c r="O62" s="327"/>
    </row>
    <row r="63" spans="1:15" ht="21" customHeight="1">
      <c r="A63" s="37" t="s">
        <v>280</v>
      </c>
      <c r="B63" s="145" t="s">
        <v>329</v>
      </c>
      <c r="C63" s="51" t="s">
        <v>233</v>
      </c>
      <c r="D63" s="68" t="s">
        <v>575</v>
      </c>
      <c r="E63" s="25">
        <f t="shared" si="6"/>
        <v>1000000</v>
      </c>
      <c r="F63" s="58">
        <v>0</v>
      </c>
      <c r="G63" s="58">
        <v>1000000</v>
      </c>
      <c r="H63" s="58"/>
      <c r="I63" s="166"/>
      <c r="J63" s="27">
        <f t="shared" si="5"/>
        <v>1000000</v>
      </c>
      <c r="K63" s="71"/>
      <c r="L63" s="26"/>
      <c r="M63" s="26"/>
      <c r="N63" s="97">
        <v>1000</v>
      </c>
      <c r="O63" s="327"/>
    </row>
    <row r="64" spans="1:15" ht="30" customHeight="1">
      <c r="A64" s="41"/>
      <c r="B64" s="91" t="s">
        <v>298</v>
      </c>
      <c r="C64" s="92" t="s">
        <v>92</v>
      </c>
      <c r="D64" s="18"/>
      <c r="E64" s="93">
        <f t="shared" si="6"/>
        <v>3310000</v>
      </c>
      <c r="F64" s="94">
        <f aca="true" t="shared" si="7" ref="F64:N64">SUM(F65:F70)</f>
        <v>0</v>
      </c>
      <c r="G64" s="94">
        <f t="shared" si="7"/>
        <v>3310000</v>
      </c>
      <c r="H64" s="94">
        <f t="shared" si="7"/>
        <v>0</v>
      </c>
      <c r="I64" s="94">
        <f t="shared" si="7"/>
        <v>0</v>
      </c>
      <c r="J64" s="318">
        <f t="shared" si="7"/>
        <v>3310000</v>
      </c>
      <c r="K64" s="94">
        <f t="shared" si="7"/>
        <v>0</v>
      </c>
      <c r="L64" s="94">
        <f t="shared" si="7"/>
        <v>0</v>
      </c>
      <c r="M64" s="94">
        <f t="shared" si="7"/>
        <v>0</v>
      </c>
      <c r="N64" s="94">
        <f t="shared" si="7"/>
        <v>1470</v>
      </c>
      <c r="O64" s="327"/>
    </row>
    <row r="65" spans="1:15" ht="20.25" customHeight="1">
      <c r="A65" s="41" t="s">
        <v>278</v>
      </c>
      <c r="B65" s="145" t="s">
        <v>283</v>
      </c>
      <c r="C65" s="51" t="s">
        <v>395</v>
      </c>
      <c r="D65" s="85" t="s">
        <v>437</v>
      </c>
      <c r="E65" s="61">
        <f t="shared" si="6"/>
        <v>1020000</v>
      </c>
      <c r="F65" s="58"/>
      <c r="G65" s="58">
        <f>630000+360000+30000</f>
        <v>1020000</v>
      </c>
      <c r="H65" s="58"/>
      <c r="I65" s="166"/>
      <c r="J65" s="56">
        <f aca="true" t="shared" si="8" ref="J65:J171">E65+K65+L65+M65</f>
        <v>1020000</v>
      </c>
      <c r="K65" s="57"/>
      <c r="L65" s="58"/>
      <c r="M65" s="58"/>
      <c r="N65" s="405">
        <v>1470</v>
      </c>
      <c r="O65" s="327"/>
    </row>
    <row r="66" spans="1:14" ht="21" customHeight="1">
      <c r="A66" s="41" t="s">
        <v>280</v>
      </c>
      <c r="B66" s="22" t="s">
        <v>283</v>
      </c>
      <c r="C66" s="23" t="s">
        <v>31</v>
      </c>
      <c r="D66" s="68">
        <v>2008</v>
      </c>
      <c r="E66" s="25">
        <f t="shared" si="6"/>
        <v>50000</v>
      </c>
      <c r="F66" s="26"/>
      <c r="G66" s="26">
        <v>50000</v>
      </c>
      <c r="H66" s="26"/>
      <c r="I66" s="28"/>
      <c r="J66" s="27">
        <f t="shared" si="8"/>
        <v>50000</v>
      </c>
      <c r="K66" s="71"/>
      <c r="L66" s="26"/>
      <c r="M66" s="26"/>
      <c r="N66" s="97">
        <v>0</v>
      </c>
    </row>
    <row r="67" spans="1:14" ht="22.5" customHeight="1">
      <c r="A67" s="41" t="s">
        <v>282</v>
      </c>
      <c r="B67" s="95" t="s">
        <v>29</v>
      </c>
      <c r="C67" s="30" t="s">
        <v>32</v>
      </c>
      <c r="D67" s="68">
        <v>2008</v>
      </c>
      <c r="E67" s="62">
        <f t="shared" si="6"/>
        <v>900000</v>
      </c>
      <c r="F67" s="32"/>
      <c r="G67" s="32">
        <v>900000</v>
      </c>
      <c r="H67" s="32"/>
      <c r="I67" s="73"/>
      <c r="J67" s="65">
        <f t="shared" si="8"/>
        <v>900000</v>
      </c>
      <c r="K67" s="66"/>
      <c r="L67" s="32"/>
      <c r="M67" s="32"/>
      <c r="N67" s="100"/>
    </row>
    <row r="68" spans="1:14" ht="18.75" customHeight="1">
      <c r="A68" s="41" t="s">
        <v>284</v>
      </c>
      <c r="B68" s="95" t="s">
        <v>29</v>
      </c>
      <c r="C68" s="30" t="s">
        <v>146</v>
      </c>
      <c r="D68" s="68">
        <v>2008</v>
      </c>
      <c r="E68" s="62">
        <f t="shared" si="6"/>
        <v>1100000</v>
      </c>
      <c r="F68" s="32"/>
      <c r="G68" s="32">
        <v>1100000</v>
      </c>
      <c r="H68" s="32"/>
      <c r="I68" s="73"/>
      <c r="J68" s="65">
        <f t="shared" si="8"/>
        <v>1100000</v>
      </c>
      <c r="K68" s="66"/>
      <c r="L68" s="32"/>
      <c r="M68" s="32"/>
      <c r="N68" s="100"/>
    </row>
    <row r="69" spans="1:14" ht="74.25" customHeight="1">
      <c r="A69" s="41" t="s">
        <v>286</v>
      </c>
      <c r="B69" s="95" t="s">
        <v>29</v>
      </c>
      <c r="C69" s="30" t="s">
        <v>78</v>
      </c>
      <c r="D69" s="68" t="s">
        <v>232</v>
      </c>
      <c r="E69" s="62">
        <f>SUM(F69:I69)</f>
        <v>100000</v>
      </c>
      <c r="F69" s="32"/>
      <c r="G69" s="32">
        <v>100000</v>
      </c>
      <c r="H69" s="32"/>
      <c r="I69" s="73"/>
      <c r="J69" s="65">
        <f>E69+K69+L69+M69</f>
        <v>100000</v>
      </c>
      <c r="K69" s="66"/>
      <c r="L69" s="32"/>
      <c r="M69" s="32"/>
      <c r="N69" s="100"/>
    </row>
    <row r="70" spans="1:14" ht="21" customHeight="1">
      <c r="A70" s="41" t="s">
        <v>287</v>
      </c>
      <c r="B70" s="95" t="s">
        <v>29</v>
      </c>
      <c r="C70" s="30" t="s">
        <v>33</v>
      </c>
      <c r="D70" s="68">
        <v>2008</v>
      </c>
      <c r="E70" s="62">
        <f t="shared" si="6"/>
        <v>140000</v>
      </c>
      <c r="F70" s="32"/>
      <c r="G70" s="32">
        <v>140000</v>
      </c>
      <c r="H70" s="32"/>
      <c r="I70" s="73"/>
      <c r="J70" s="65">
        <f t="shared" si="8"/>
        <v>140000</v>
      </c>
      <c r="K70" s="66"/>
      <c r="L70" s="32"/>
      <c r="M70" s="32"/>
      <c r="N70" s="100"/>
    </row>
    <row r="71" spans="1:14" ht="24.75" customHeight="1">
      <c r="A71" s="37"/>
      <c r="B71" s="3" t="s">
        <v>347</v>
      </c>
      <c r="C71" s="6" t="s">
        <v>576</v>
      </c>
      <c r="D71" s="18"/>
      <c r="E71" s="38">
        <f t="shared" si="6"/>
        <v>11000</v>
      </c>
      <c r="F71" s="19">
        <f>SUM(F72:F72)</f>
        <v>0</v>
      </c>
      <c r="G71" s="19">
        <f>SUM(G72:G72)</f>
        <v>11000</v>
      </c>
      <c r="H71" s="19">
        <f>SUM(H72:H72)</f>
        <v>0</v>
      </c>
      <c r="I71" s="19">
        <f>SUM(I72:I72)</f>
        <v>0</v>
      </c>
      <c r="J71" s="20">
        <f t="shared" si="8"/>
        <v>11000</v>
      </c>
      <c r="K71" s="19">
        <f>SUM(K72:K72)</f>
        <v>0</v>
      </c>
      <c r="L71" s="19">
        <f>SUM(L72:L72)</f>
        <v>0</v>
      </c>
      <c r="M71" s="19">
        <f>SUM(M72:M72)</f>
        <v>0</v>
      </c>
      <c r="N71" s="19">
        <f>SUM(N72:N72)</f>
        <v>0</v>
      </c>
    </row>
    <row r="72" spans="1:14" ht="25.5" customHeight="1">
      <c r="A72" s="72" t="s">
        <v>278</v>
      </c>
      <c r="B72" s="140" t="s">
        <v>103</v>
      </c>
      <c r="C72" s="30" t="s">
        <v>153</v>
      </c>
      <c r="D72" s="60">
        <v>2008</v>
      </c>
      <c r="E72" s="62">
        <f t="shared" si="6"/>
        <v>11000</v>
      </c>
      <c r="F72" s="32"/>
      <c r="G72" s="32">
        <v>11000</v>
      </c>
      <c r="H72" s="32"/>
      <c r="I72" s="73"/>
      <c r="J72" s="27">
        <f t="shared" si="8"/>
        <v>11000</v>
      </c>
      <c r="K72" s="66"/>
      <c r="L72" s="32"/>
      <c r="M72" s="32"/>
      <c r="N72" s="100"/>
    </row>
    <row r="73" spans="1:15" ht="28.5" customHeight="1">
      <c r="A73" s="37"/>
      <c r="B73" s="3" t="s">
        <v>300</v>
      </c>
      <c r="C73" s="6" t="s">
        <v>301</v>
      </c>
      <c r="D73" s="76"/>
      <c r="E73" s="38">
        <f t="shared" si="6"/>
        <v>2562157</v>
      </c>
      <c r="F73" s="19">
        <f>F78+F79+F80+F77</f>
        <v>0</v>
      </c>
      <c r="G73" s="19">
        <f>G78+G79+G80+G77</f>
        <v>1283042</v>
      </c>
      <c r="H73" s="19">
        <f>H78+H79+H80+H77</f>
        <v>0</v>
      </c>
      <c r="I73" s="19">
        <f>I78+I79+I80+I77</f>
        <v>1279115</v>
      </c>
      <c r="J73" s="20">
        <f t="shared" si="8"/>
        <v>2742157</v>
      </c>
      <c r="K73" s="19">
        <f>K74+K78+K79+K80</f>
        <v>0</v>
      </c>
      <c r="L73" s="19">
        <f>L74+L78+L79+L80</f>
        <v>180000</v>
      </c>
      <c r="M73" s="19">
        <f>M74+M78+M79+M80</f>
        <v>0</v>
      </c>
      <c r="N73" s="19">
        <f>N74+N78+N79+N80</f>
        <v>360</v>
      </c>
      <c r="O73" s="327"/>
    </row>
    <row r="74" spans="1:15" ht="15" customHeight="1">
      <c r="A74" s="422" t="s">
        <v>278</v>
      </c>
      <c r="B74" s="39" t="s">
        <v>329</v>
      </c>
      <c r="C74" s="425" t="s">
        <v>530</v>
      </c>
      <c r="D74" s="485" t="s">
        <v>121</v>
      </c>
      <c r="E74" s="25">
        <f t="shared" si="6"/>
        <v>369670</v>
      </c>
      <c r="F74" s="97"/>
      <c r="G74" s="97">
        <v>369670</v>
      </c>
      <c r="H74" s="97"/>
      <c r="I74" s="98">
        <v>0</v>
      </c>
      <c r="J74" s="20">
        <f t="shared" si="8"/>
        <v>369670</v>
      </c>
      <c r="K74" s="99"/>
      <c r="L74" s="26"/>
      <c r="M74" s="26"/>
      <c r="N74" s="26"/>
      <c r="O74" s="327"/>
    </row>
    <row r="75" spans="1:15" ht="15" customHeight="1">
      <c r="A75" s="503"/>
      <c r="B75" s="39" t="s">
        <v>111</v>
      </c>
      <c r="C75" s="504"/>
      <c r="D75" s="503"/>
      <c r="E75" s="62"/>
      <c r="F75" s="100"/>
      <c r="G75" s="100"/>
      <c r="H75" s="100"/>
      <c r="I75" s="101">
        <v>1279115</v>
      </c>
      <c r="J75" s="20">
        <f t="shared" si="8"/>
        <v>0</v>
      </c>
      <c r="K75" s="102"/>
      <c r="L75" s="32"/>
      <c r="M75" s="32"/>
      <c r="N75" s="32"/>
      <c r="O75" s="327"/>
    </row>
    <row r="76" spans="1:15" ht="15" customHeight="1">
      <c r="A76" s="503"/>
      <c r="B76" s="39" t="s">
        <v>172</v>
      </c>
      <c r="C76" s="504"/>
      <c r="D76" s="503"/>
      <c r="E76" s="62"/>
      <c r="F76" s="100"/>
      <c r="G76" s="100">
        <v>673372</v>
      </c>
      <c r="H76" s="100"/>
      <c r="I76" s="101"/>
      <c r="J76" s="20">
        <f t="shared" si="8"/>
        <v>0</v>
      </c>
      <c r="K76" s="102"/>
      <c r="L76" s="32"/>
      <c r="M76" s="32"/>
      <c r="N76" s="32"/>
      <c r="O76" s="327"/>
    </row>
    <row r="77" spans="1:15" ht="15" customHeight="1">
      <c r="A77" s="463"/>
      <c r="B77" s="34" t="s">
        <v>101</v>
      </c>
      <c r="C77" s="505"/>
      <c r="D77" s="463"/>
      <c r="E77" s="75">
        <f>SUM(F77:I77)</f>
        <v>2322157</v>
      </c>
      <c r="F77" s="401">
        <f>SUM(F74:F76)</f>
        <v>0</v>
      </c>
      <c r="G77" s="401">
        <f>SUM(G74:G76)</f>
        <v>1043042</v>
      </c>
      <c r="H77" s="401">
        <f>SUM(H74:H76)</f>
        <v>0</v>
      </c>
      <c r="I77" s="419">
        <f>SUM(I74:I76)</f>
        <v>1279115</v>
      </c>
      <c r="J77" s="20">
        <f t="shared" si="8"/>
        <v>2322157</v>
      </c>
      <c r="K77" s="102"/>
      <c r="L77" s="32"/>
      <c r="M77" s="32"/>
      <c r="N77" s="32"/>
      <c r="O77" s="327"/>
    </row>
    <row r="78" spans="1:15" ht="24" customHeight="1">
      <c r="A78" s="72" t="s">
        <v>280</v>
      </c>
      <c r="B78" s="140" t="s">
        <v>329</v>
      </c>
      <c r="C78" s="30" t="s">
        <v>539</v>
      </c>
      <c r="D78" s="60">
        <v>2008</v>
      </c>
      <c r="E78" s="62">
        <f t="shared" si="6"/>
        <v>10000</v>
      </c>
      <c r="F78" s="100"/>
      <c r="G78" s="100">
        <v>10000</v>
      </c>
      <c r="H78" s="100"/>
      <c r="I78" s="101"/>
      <c r="J78" s="36">
        <f t="shared" si="8"/>
        <v>10000</v>
      </c>
      <c r="K78" s="102"/>
      <c r="L78" s="32"/>
      <c r="M78" s="32"/>
      <c r="N78" s="32"/>
      <c r="O78" s="327"/>
    </row>
    <row r="79" spans="1:15" ht="22.5" customHeight="1">
      <c r="A79" s="72" t="s">
        <v>282</v>
      </c>
      <c r="B79" s="39" t="s">
        <v>329</v>
      </c>
      <c r="C79" s="30" t="s">
        <v>391</v>
      </c>
      <c r="D79" s="60">
        <v>2008</v>
      </c>
      <c r="E79" s="25">
        <f t="shared" si="6"/>
        <v>20000</v>
      </c>
      <c r="F79" s="100"/>
      <c r="G79" s="100">
        <v>20000</v>
      </c>
      <c r="H79" s="100"/>
      <c r="I79" s="101"/>
      <c r="J79" s="20">
        <f t="shared" si="8"/>
        <v>20000</v>
      </c>
      <c r="K79" s="102"/>
      <c r="L79" s="32"/>
      <c r="M79" s="32"/>
      <c r="N79" s="26"/>
      <c r="O79" s="327"/>
    </row>
    <row r="80" spans="1:15" ht="42" customHeight="1">
      <c r="A80" s="72" t="s">
        <v>284</v>
      </c>
      <c r="B80" s="22" t="s">
        <v>29</v>
      </c>
      <c r="C80" s="30" t="s">
        <v>165</v>
      </c>
      <c r="D80" s="60">
        <v>2008</v>
      </c>
      <c r="E80" s="25">
        <f t="shared" si="6"/>
        <v>210000</v>
      </c>
      <c r="F80" s="100"/>
      <c r="G80" s="100">
        <f>180000+30000</f>
        <v>210000</v>
      </c>
      <c r="H80" s="100"/>
      <c r="I80" s="101"/>
      <c r="J80" s="20">
        <f t="shared" si="8"/>
        <v>390000</v>
      </c>
      <c r="K80" s="102"/>
      <c r="L80" s="32">
        <v>180000</v>
      </c>
      <c r="M80" s="32"/>
      <c r="N80" s="26">
        <v>360</v>
      </c>
      <c r="O80" s="327"/>
    </row>
    <row r="81" spans="1:15" ht="27" customHeight="1">
      <c r="A81" s="6"/>
      <c r="B81" s="3" t="s">
        <v>359</v>
      </c>
      <c r="C81" s="6" t="s">
        <v>180</v>
      </c>
      <c r="D81" s="96"/>
      <c r="E81" s="38">
        <f t="shared" si="6"/>
        <v>120000</v>
      </c>
      <c r="F81" s="11">
        <f>SUM(F82:F82)</f>
        <v>0</v>
      </c>
      <c r="G81" s="11">
        <f>SUM(G82:G82)</f>
        <v>120000</v>
      </c>
      <c r="H81" s="11">
        <f>SUM(H82:H82)</f>
        <v>0</v>
      </c>
      <c r="I81" s="11">
        <f>SUM(I82:I82)</f>
        <v>0</v>
      </c>
      <c r="J81" s="20">
        <f>E81+K81+L81+M81</f>
        <v>120000</v>
      </c>
      <c r="K81" s="11">
        <f>SUM(K82:K82)</f>
        <v>0</v>
      </c>
      <c r="L81" s="11">
        <f>SUM(L82:L82)</f>
        <v>0</v>
      </c>
      <c r="M81" s="11">
        <f>SUM(M82:M82)</f>
        <v>0</v>
      </c>
      <c r="N81" s="11">
        <f>SUM(N82:N82)</f>
        <v>0</v>
      </c>
      <c r="O81" s="327"/>
    </row>
    <row r="82" spans="1:15" ht="22.5" customHeight="1">
      <c r="A82" s="37" t="s">
        <v>278</v>
      </c>
      <c r="B82" s="22" t="s">
        <v>329</v>
      </c>
      <c r="C82" s="23" t="s">
        <v>166</v>
      </c>
      <c r="D82" s="68">
        <v>2008</v>
      </c>
      <c r="E82" s="83">
        <f t="shared" si="6"/>
        <v>120000</v>
      </c>
      <c r="F82" s="69"/>
      <c r="G82" s="69">
        <v>120000</v>
      </c>
      <c r="H82" s="69"/>
      <c r="I82" s="70"/>
      <c r="J82" s="27">
        <f>E82+K82+L82+M82</f>
        <v>120000</v>
      </c>
      <c r="K82" s="71"/>
      <c r="L82" s="26"/>
      <c r="M82" s="26"/>
      <c r="N82" s="97"/>
      <c r="O82" s="327"/>
    </row>
    <row r="83" spans="1:15" ht="26.25" customHeight="1">
      <c r="A83" s="6"/>
      <c r="B83" s="3" t="s">
        <v>338</v>
      </c>
      <c r="C83" s="6" t="s">
        <v>339</v>
      </c>
      <c r="D83" s="96"/>
      <c r="E83" s="38">
        <f t="shared" si="6"/>
        <v>304000</v>
      </c>
      <c r="F83" s="11">
        <f>SUM(F84:F84)</f>
        <v>0</v>
      </c>
      <c r="G83" s="11">
        <f>SUM(G84:G84)</f>
        <v>304000</v>
      </c>
      <c r="H83" s="11">
        <f>SUM(H84:H84)</f>
        <v>0</v>
      </c>
      <c r="I83" s="12">
        <f>SUM(I84:I84)</f>
        <v>0</v>
      </c>
      <c r="J83" s="20">
        <f t="shared" si="8"/>
        <v>304000</v>
      </c>
      <c r="K83" s="77">
        <f>K84</f>
        <v>0</v>
      </c>
      <c r="L83" s="11">
        <f>L84</f>
        <v>0</v>
      </c>
      <c r="M83" s="11">
        <f>M84</f>
        <v>0</v>
      </c>
      <c r="N83" s="399">
        <f>N84</f>
        <v>0</v>
      </c>
      <c r="O83" s="327"/>
    </row>
    <row r="84" spans="1:15" ht="22.5" customHeight="1">
      <c r="A84" s="37" t="s">
        <v>278</v>
      </c>
      <c r="B84" s="22" t="s">
        <v>283</v>
      </c>
      <c r="C84" s="23" t="s">
        <v>59</v>
      </c>
      <c r="D84" s="60">
        <v>2008</v>
      </c>
      <c r="E84" s="83">
        <f t="shared" si="6"/>
        <v>304000</v>
      </c>
      <c r="F84" s="69"/>
      <c r="G84" s="69">
        <v>304000</v>
      </c>
      <c r="H84" s="69"/>
      <c r="I84" s="70">
        <v>0</v>
      </c>
      <c r="J84" s="27">
        <f t="shared" si="8"/>
        <v>304000</v>
      </c>
      <c r="K84" s="71">
        <v>0</v>
      </c>
      <c r="L84" s="26">
        <v>0</v>
      </c>
      <c r="M84" s="26">
        <v>0</v>
      </c>
      <c r="N84" s="97">
        <v>0</v>
      </c>
      <c r="O84" s="327"/>
    </row>
    <row r="85" spans="1:14" ht="27.75" customHeight="1">
      <c r="A85" s="72"/>
      <c r="B85" s="34" t="s">
        <v>303</v>
      </c>
      <c r="C85" s="33" t="s">
        <v>304</v>
      </c>
      <c r="D85" s="74"/>
      <c r="E85" s="75">
        <f t="shared" si="6"/>
        <v>2200000</v>
      </c>
      <c r="F85" s="35">
        <f>SUM(F86:F88)</f>
        <v>0</v>
      </c>
      <c r="G85" s="35">
        <f>SUM(G86:G88)</f>
        <v>2200000</v>
      </c>
      <c r="H85" s="35">
        <f>SUM(H86:H88)</f>
        <v>0</v>
      </c>
      <c r="I85" s="35">
        <f>SUM(I86:I88)</f>
        <v>0</v>
      </c>
      <c r="J85" s="36">
        <f t="shared" si="8"/>
        <v>2200000</v>
      </c>
      <c r="K85" s="35">
        <f>SUM(K86:K88)</f>
        <v>0</v>
      </c>
      <c r="L85" s="35">
        <f>SUM(L86:L88)</f>
        <v>0</v>
      </c>
      <c r="M85" s="35">
        <f>SUM(M86:M88)</f>
        <v>0</v>
      </c>
      <c r="N85" s="35">
        <f>SUM(N86:N88)</f>
        <v>2050</v>
      </c>
    </row>
    <row r="86" spans="1:14" ht="23.25" customHeight="1">
      <c r="A86" s="37" t="s">
        <v>278</v>
      </c>
      <c r="B86" s="39" t="s">
        <v>283</v>
      </c>
      <c r="C86" s="23" t="s">
        <v>190</v>
      </c>
      <c r="D86" s="68">
        <v>2008</v>
      </c>
      <c r="E86" s="25">
        <f t="shared" si="6"/>
        <v>1900000</v>
      </c>
      <c r="F86" s="69">
        <v>0</v>
      </c>
      <c r="G86" s="69">
        <v>1900000</v>
      </c>
      <c r="H86" s="69">
        <v>0</v>
      </c>
      <c r="I86" s="70">
        <v>0</v>
      </c>
      <c r="J86" s="20">
        <f t="shared" si="8"/>
        <v>1900000</v>
      </c>
      <c r="K86" s="71">
        <v>0</v>
      </c>
      <c r="L86" s="26">
        <v>0</v>
      </c>
      <c r="M86" s="26"/>
      <c r="N86" s="97">
        <v>1900</v>
      </c>
    </row>
    <row r="87" spans="1:14" ht="26.25" customHeight="1">
      <c r="A87" s="37" t="s">
        <v>280</v>
      </c>
      <c r="B87" s="22" t="s">
        <v>283</v>
      </c>
      <c r="C87" s="30" t="s">
        <v>63</v>
      </c>
      <c r="D87" s="60" t="s">
        <v>578</v>
      </c>
      <c r="E87" s="25">
        <f t="shared" si="6"/>
        <v>150000</v>
      </c>
      <c r="F87" s="100"/>
      <c r="G87" s="100">
        <v>150000</v>
      </c>
      <c r="H87" s="100"/>
      <c r="I87" s="101"/>
      <c r="J87" s="20">
        <f t="shared" si="8"/>
        <v>150000</v>
      </c>
      <c r="K87" s="102"/>
      <c r="L87" s="142"/>
      <c r="M87" s="142"/>
      <c r="N87" s="402">
        <v>150</v>
      </c>
    </row>
    <row r="88" spans="1:14" ht="17.25" customHeight="1">
      <c r="A88" s="37" t="s">
        <v>282</v>
      </c>
      <c r="B88" s="95" t="s">
        <v>283</v>
      </c>
      <c r="C88" s="30" t="s">
        <v>425</v>
      </c>
      <c r="D88" s="60">
        <v>2008</v>
      </c>
      <c r="E88" s="62">
        <f t="shared" si="6"/>
        <v>150000</v>
      </c>
      <c r="F88" s="100"/>
      <c r="G88" s="100">
        <v>150000</v>
      </c>
      <c r="H88" s="100"/>
      <c r="I88" s="101"/>
      <c r="J88" s="65">
        <f t="shared" si="8"/>
        <v>150000</v>
      </c>
      <c r="K88" s="102"/>
      <c r="L88" s="142"/>
      <c r="M88" s="142"/>
      <c r="N88" s="402"/>
    </row>
    <row r="89" spans="1:14" ht="27" customHeight="1">
      <c r="A89" s="72"/>
      <c r="B89" s="34" t="s">
        <v>305</v>
      </c>
      <c r="C89" s="33" t="s">
        <v>154</v>
      </c>
      <c r="D89" s="74"/>
      <c r="E89" s="75">
        <f t="shared" si="6"/>
        <v>250000</v>
      </c>
      <c r="F89" s="35">
        <f>SUM(F90:F91)</f>
        <v>0</v>
      </c>
      <c r="G89" s="35">
        <f>SUM(G90:G91)</f>
        <v>250000</v>
      </c>
      <c r="H89" s="35">
        <f>SUM(H90:H91)</f>
        <v>0</v>
      </c>
      <c r="I89" s="35">
        <f>SUM(I90:I91)</f>
        <v>0</v>
      </c>
      <c r="J89" s="36">
        <f t="shared" si="8"/>
        <v>250000</v>
      </c>
      <c r="K89" s="35">
        <f>SUM(K90:K91)</f>
        <v>0</v>
      </c>
      <c r="L89" s="35">
        <f>SUM(L90:L91)</f>
        <v>0</v>
      </c>
      <c r="M89" s="35">
        <f>SUM(M90:M91)</f>
        <v>0</v>
      </c>
      <c r="N89" s="35">
        <f>SUM(N90:N91)</f>
        <v>0</v>
      </c>
    </row>
    <row r="90" spans="1:14" ht="21.75" customHeight="1">
      <c r="A90" s="37" t="s">
        <v>278</v>
      </c>
      <c r="B90" s="39" t="s">
        <v>283</v>
      </c>
      <c r="C90" s="23" t="s">
        <v>584</v>
      </c>
      <c r="D90" s="68">
        <v>2008</v>
      </c>
      <c r="E90" s="25">
        <f t="shared" si="6"/>
        <v>200000</v>
      </c>
      <c r="F90" s="69"/>
      <c r="G90" s="69">
        <v>200000</v>
      </c>
      <c r="H90" s="69"/>
      <c r="I90" s="70"/>
      <c r="J90" s="27">
        <f t="shared" si="8"/>
        <v>200000</v>
      </c>
      <c r="K90" s="71"/>
      <c r="L90" s="26"/>
      <c r="M90" s="26"/>
      <c r="N90" s="97"/>
    </row>
    <row r="91" spans="1:14" ht="21" customHeight="1">
      <c r="A91" s="37" t="s">
        <v>280</v>
      </c>
      <c r="B91" s="39" t="s">
        <v>283</v>
      </c>
      <c r="C91" s="30" t="s">
        <v>593</v>
      </c>
      <c r="D91" s="68">
        <v>2008</v>
      </c>
      <c r="E91" s="62">
        <f t="shared" si="6"/>
        <v>50000</v>
      </c>
      <c r="F91" s="63"/>
      <c r="G91" s="63">
        <v>50000</v>
      </c>
      <c r="H91" s="63"/>
      <c r="I91" s="64"/>
      <c r="J91" s="65">
        <f t="shared" si="8"/>
        <v>50000</v>
      </c>
      <c r="K91" s="66"/>
      <c r="L91" s="142"/>
      <c r="M91" s="142"/>
      <c r="N91" s="402"/>
    </row>
    <row r="92" spans="1:14" ht="27" customHeight="1">
      <c r="A92" s="72"/>
      <c r="B92" s="34" t="s">
        <v>588</v>
      </c>
      <c r="C92" s="33" t="s">
        <v>589</v>
      </c>
      <c r="D92" s="74"/>
      <c r="E92" s="75">
        <f t="shared" si="6"/>
        <v>32100</v>
      </c>
      <c r="F92" s="35">
        <f>SUM(F93:F96)</f>
        <v>0</v>
      </c>
      <c r="G92" s="35">
        <f>SUM(G93:G96)</f>
        <v>32100</v>
      </c>
      <c r="H92" s="35">
        <f>SUM(H93:H96)</f>
        <v>0</v>
      </c>
      <c r="I92" s="35">
        <f>SUM(I93:I96)</f>
        <v>0</v>
      </c>
      <c r="J92" s="36">
        <f t="shared" si="8"/>
        <v>32100</v>
      </c>
      <c r="K92" s="35">
        <f>SUM(K93:K96)</f>
        <v>0</v>
      </c>
      <c r="L92" s="35">
        <f>SUM(L93:L96)</f>
        <v>0</v>
      </c>
      <c r="M92" s="35">
        <f>SUM(M93:M96)</f>
        <v>0</v>
      </c>
      <c r="N92" s="35">
        <f>SUM(N93:N96)</f>
        <v>0</v>
      </c>
    </row>
    <row r="93" spans="1:14" ht="26.25" customHeight="1">
      <c r="A93" s="37" t="s">
        <v>278</v>
      </c>
      <c r="B93" s="95" t="s">
        <v>283</v>
      </c>
      <c r="C93" s="30" t="s">
        <v>79</v>
      </c>
      <c r="D93" s="60">
        <v>2008</v>
      </c>
      <c r="E93" s="62">
        <f t="shared" si="6"/>
        <v>6000</v>
      </c>
      <c r="F93" s="100"/>
      <c r="G93" s="100">
        <v>6000</v>
      </c>
      <c r="H93" s="100"/>
      <c r="I93" s="101"/>
      <c r="J93" s="65">
        <f t="shared" si="8"/>
        <v>6000</v>
      </c>
      <c r="K93" s="102"/>
      <c r="L93" s="142"/>
      <c r="M93" s="142"/>
      <c r="N93" s="402"/>
    </row>
    <row r="94" spans="1:16" ht="21" customHeight="1">
      <c r="A94" s="37" t="s">
        <v>280</v>
      </c>
      <c r="B94" s="95" t="s">
        <v>283</v>
      </c>
      <c r="C94" s="30" t="s">
        <v>36</v>
      </c>
      <c r="D94" s="60">
        <v>2008</v>
      </c>
      <c r="E94" s="62">
        <f t="shared" si="6"/>
        <v>6100</v>
      </c>
      <c r="F94" s="100"/>
      <c r="G94" s="100">
        <v>6100</v>
      </c>
      <c r="H94" s="100"/>
      <c r="I94" s="101"/>
      <c r="J94" s="65">
        <f t="shared" si="8"/>
        <v>6100</v>
      </c>
      <c r="K94" s="102"/>
      <c r="L94" s="142"/>
      <c r="M94" s="142"/>
      <c r="N94" s="402"/>
      <c r="P94" s="138">
        <f>SUM(G88:G107)</f>
        <v>1288200</v>
      </c>
    </row>
    <row r="95" spans="1:14" ht="25.5" customHeight="1">
      <c r="A95" s="37" t="s">
        <v>282</v>
      </c>
      <c r="B95" s="39" t="s">
        <v>329</v>
      </c>
      <c r="C95" s="23" t="s">
        <v>582</v>
      </c>
      <c r="D95" s="60">
        <v>2008</v>
      </c>
      <c r="E95" s="25">
        <f t="shared" si="6"/>
        <v>11000</v>
      </c>
      <c r="F95" s="69"/>
      <c r="G95" s="69">
        <v>11000</v>
      </c>
      <c r="H95" s="69"/>
      <c r="I95" s="70"/>
      <c r="J95" s="27">
        <f>SUM(K95:M95)+E95</f>
        <v>11000</v>
      </c>
      <c r="K95" s="71"/>
      <c r="L95" s="295"/>
      <c r="M95" s="26"/>
      <c r="N95" s="97"/>
    </row>
    <row r="96" spans="1:14" ht="20.25" customHeight="1">
      <c r="A96" s="37" t="s">
        <v>284</v>
      </c>
      <c r="B96" s="95" t="s">
        <v>283</v>
      </c>
      <c r="C96" s="30" t="s">
        <v>37</v>
      </c>
      <c r="D96" s="60">
        <v>2008</v>
      </c>
      <c r="E96" s="62">
        <f t="shared" si="6"/>
        <v>9000</v>
      </c>
      <c r="F96" s="100"/>
      <c r="G96" s="100">
        <v>9000</v>
      </c>
      <c r="H96" s="100"/>
      <c r="I96" s="101"/>
      <c r="J96" s="65">
        <f>E96+K96+L96+M96</f>
        <v>9000</v>
      </c>
      <c r="K96" s="102"/>
      <c r="L96" s="142"/>
      <c r="M96" s="142"/>
      <c r="N96" s="402"/>
    </row>
    <row r="97" spans="1:14" ht="30.75" customHeight="1">
      <c r="A97" s="72"/>
      <c r="B97" s="34" t="s">
        <v>42</v>
      </c>
      <c r="C97" s="33" t="s">
        <v>95</v>
      </c>
      <c r="D97" s="74"/>
      <c r="E97" s="75">
        <f aca="true" t="shared" si="9" ref="E97:E124">SUM(F97:I97)</f>
        <v>267000</v>
      </c>
      <c r="F97" s="35">
        <f aca="true" t="shared" si="10" ref="F97:N97">SUM(F98:F99)</f>
        <v>67000</v>
      </c>
      <c r="G97" s="35">
        <f t="shared" si="10"/>
        <v>200000</v>
      </c>
      <c r="H97" s="35">
        <f t="shared" si="10"/>
        <v>0</v>
      </c>
      <c r="I97" s="35">
        <f t="shared" si="10"/>
        <v>0</v>
      </c>
      <c r="J97" s="36">
        <f t="shared" si="10"/>
        <v>267000</v>
      </c>
      <c r="K97" s="35">
        <f t="shared" si="10"/>
        <v>0</v>
      </c>
      <c r="L97" s="35">
        <f t="shared" si="10"/>
        <v>0</v>
      </c>
      <c r="M97" s="35">
        <f t="shared" si="10"/>
        <v>0</v>
      </c>
      <c r="N97" s="35">
        <f t="shared" si="10"/>
        <v>0</v>
      </c>
    </row>
    <row r="98" spans="1:14" ht="18" customHeight="1">
      <c r="A98" s="37" t="s">
        <v>278</v>
      </c>
      <c r="B98" s="39" t="s">
        <v>329</v>
      </c>
      <c r="C98" s="23" t="s">
        <v>43</v>
      </c>
      <c r="D98" s="68">
        <v>2008</v>
      </c>
      <c r="E98" s="25">
        <f t="shared" si="9"/>
        <v>67000</v>
      </c>
      <c r="F98" s="69">
        <v>67000</v>
      </c>
      <c r="G98" s="69"/>
      <c r="H98" s="69"/>
      <c r="I98" s="70"/>
      <c r="J98" s="27">
        <f>E98+K98+L98+M98</f>
        <v>67000</v>
      </c>
      <c r="K98" s="71"/>
      <c r="L98" s="26"/>
      <c r="M98" s="26"/>
      <c r="N98" s="97"/>
    </row>
    <row r="99" spans="1:14" ht="18" customHeight="1">
      <c r="A99" s="37" t="s">
        <v>280</v>
      </c>
      <c r="B99" s="39" t="s">
        <v>283</v>
      </c>
      <c r="C99" s="23" t="s">
        <v>159</v>
      </c>
      <c r="D99" s="68">
        <v>2008</v>
      </c>
      <c r="E99" s="25">
        <f>SUM(F99:I99)</f>
        <v>200000</v>
      </c>
      <c r="F99" s="69"/>
      <c r="G99" s="69">
        <v>200000</v>
      </c>
      <c r="H99" s="69"/>
      <c r="I99" s="70"/>
      <c r="J99" s="27">
        <f>E99+K99+L99+M99</f>
        <v>200000</v>
      </c>
      <c r="K99" s="71"/>
      <c r="L99" s="26"/>
      <c r="M99" s="26"/>
      <c r="N99" s="97"/>
    </row>
    <row r="100" spans="1:14" ht="25.5" customHeight="1">
      <c r="A100" s="37"/>
      <c r="B100" s="3" t="s">
        <v>219</v>
      </c>
      <c r="C100" s="6" t="s">
        <v>220</v>
      </c>
      <c r="D100" s="68"/>
      <c r="E100" s="38">
        <f>SUM(F100:I100)</f>
        <v>20000</v>
      </c>
      <c r="F100" s="11">
        <f>SUM(F101:F101)</f>
        <v>0</v>
      </c>
      <c r="G100" s="11">
        <f>SUM(G101:G101)</f>
        <v>20000</v>
      </c>
      <c r="H100" s="11">
        <f>SUM(H101:H101)</f>
        <v>0</v>
      </c>
      <c r="I100" s="11">
        <f>SUM(I101:I101)</f>
        <v>0</v>
      </c>
      <c r="J100" s="20">
        <f>E100+K100+L100+M100</f>
        <v>20000</v>
      </c>
      <c r="K100" s="11">
        <f>SUM(K101:K101)</f>
        <v>0</v>
      </c>
      <c r="L100" s="11">
        <f>SUM(L101:L101)</f>
        <v>0</v>
      </c>
      <c r="M100" s="11">
        <f>SUM(M101:M101)</f>
        <v>0</v>
      </c>
      <c r="N100" s="11">
        <f>SUM(N101:N101)</f>
        <v>0</v>
      </c>
    </row>
    <row r="101" spans="1:14" ht="23.25" customHeight="1">
      <c r="A101" s="37" t="s">
        <v>278</v>
      </c>
      <c r="B101" s="39" t="s">
        <v>29</v>
      </c>
      <c r="C101" s="23" t="s">
        <v>341</v>
      </c>
      <c r="D101" s="68">
        <v>2008</v>
      </c>
      <c r="E101" s="25">
        <f>SUM(F101:I101)</f>
        <v>20000</v>
      </c>
      <c r="F101" s="69"/>
      <c r="G101" s="69">
        <v>20000</v>
      </c>
      <c r="H101" s="69"/>
      <c r="I101" s="70"/>
      <c r="J101" s="27">
        <f>E101+K101+L101+M101</f>
        <v>20000</v>
      </c>
      <c r="K101" s="71"/>
      <c r="L101" s="295"/>
      <c r="M101" s="295"/>
      <c r="N101" s="131"/>
    </row>
    <row r="102" spans="1:14" ht="27" customHeight="1">
      <c r="A102" s="37"/>
      <c r="B102" s="3" t="s">
        <v>356</v>
      </c>
      <c r="C102" s="6" t="s">
        <v>357</v>
      </c>
      <c r="D102" s="76"/>
      <c r="E102" s="38">
        <f t="shared" si="9"/>
        <v>30000</v>
      </c>
      <c r="F102" s="19">
        <f>SUM(F103)</f>
        <v>0</v>
      </c>
      <c r="G102" s="19">
        <f>SUM(G103)</f>
        <v>30000</v>
      </c>
      <c r="H102" s="19">
        <f>SUM(H103)</f>
        <v>0</v>
      </c>
      <c r="I102" s="89">
        <f>SUM(I103)</f>
        <v>0</v>
      </c>
      <c r="J102" s="20">
        <f t="shared" si="8"/>
        <v>30000</v>
      </c>
      <c r="K102" s="90">
        <f>SUM(K103)</f>
        <v>0</v>
      </c>
      <c r="L102" s="90">
        <f>SUM(L103)</f>
        <v>0</v>
      </c>
      <c r="M102" s="90">
        <f>SUM(M103)</f>
        <v>0</v>
      </c>
      <c r="N102" s="403">
        <f>SUM(N103)</f>
        <v>0</v>
      </c>
    </row>
    <row r="103" spans="1:14" ht="21" customHeight="1">
      <c r="A103" s="37" t="s">
        <v>278</v>
      </c>
      <c r="B103" s="22" t="s">
        <v>329</v>
      </c>
      <c r="C103" s="103" t="s">
        <v>21</v>
      </c>
      <c r="D103" s="60">
        <v>2008</v>
      </c>
      <c r="E103" s="25">
        <f t="shared" si="9"/>
        <v>30000</v>
      </c>
      <c r="F103" s="97">
        <v>0</v>
      </c>
      <c r="G103" s="97">
        <v>30000</v>
      </c>
      <c r="H103" s="97">
        <v>0</v>
      </c>
      <c r="I103" s="98">
        <v>0</v>
      </c>
      <c r="J103" s="27">
        <f t="shared" si="8"/>
        <v>30000</v>
      </c>
      <c r="K103" s="99">
        <v>0</v>
      </c>
      <c r="L103" s="26">
        <v>0</v>
      </c>
      <c r="M103" s="26">
        <v>0</v>
      </c>
      <c r="N103" s="97">
        <v>0</v>
      </c>
    </row>
    <row r="104" spans="1:14" ht="30.75" customHeight="1">
      <c r="A104" s="72"/>
      <c r="B104" s="34" t="s">
        <v>129</v>
      </c>
      <c r="C104" s="33" t="s">
        <v>130</v>
      </c>
      <c r="D104" s="74"/>
      <c r="E104" s="75">
        <f t="shared" si="9"/>
        <v>25000</v>
      </c>
      <c r="F104" s="35">
        <f>SUM(F105)</f>
        <v>0</v>
      </c>
      <c r="G104" s="35">
        <f>SUM(G105)</f>
        <v>25000</v>
      </c>
      <c r="H104" s="35">
        <f>SUM(H105)</f>
        <v>0</v>
      </c>
      <c r="I104" s="35">
        <f>SUM(I105)</f>
        <v>0</v>
      </c>
      <c r="J104" s="36">
        <f>E104+K104+L104+M104</f>
        <v>25000</v>
      </c>
      <c r="K104" s="35">
        <f>SUM(K105:K109)</f>
        <v>0</v>
      </c>
      <c r="L104" s="35">
        <f>SUM(L105:L109)</f>
        <v>0</v>
      </c>
      <c r="M104" s="35">
        <f>SUM(M105:M109)</f>
        <v>0</v>
      </c>
      <c r="N104" s="35">
        <v>0</v>
      </c>
    </row>
    <row r="105" spans="1:14" ht="36" customHeight="1">
      <c r="A105" s="37" t="s">
        <v>278</v>
      </c>
      <c r="B105" s="39" t="s">
        <v>283</v>
      </c>
      <c r="C105" s="23" t="s">
        <v>167</v>
      </c>
      <c r="D105" s="68">
        <v>2008</v>
      </c>
      <c r="E105" s="25">
        <f t="shared" si="9"/>
        <v>25000</v>
      </c>
      <c r="F105" s="69">
        <v>0</v>
      </c>
      <c r="G105" s="69">
        <v>25000</v>
      </c>
      <c r="H105" s="69">
        <v>0</v>
      </c>
      <c r="I105" s="70">
        <v>0</v>
      </c>
      <c r="J105" s="27">
        <f>E105+K105+L105+M105</f>
        <v>25000</v>
      </c>
      <c r="K105" s="71"/>
      <c r="L105" s="26">
        <v>0</v>
      </c>
      <c r="M105" s="26">
        <v>0</v>
      </c>
      <c r="N105" s="97">
        <v>0</v>
      </c>
    </row>
    <row r="106" spans="1:14" ht="30.75" customHeight="1">
      <c r="A106" s="37"/>
      <c r="B106" s="34" t="s">
        <v>581</v>
      </c>
      <c r="C106" s="33" t="s">
        <v>526</v>
      </c>
      <c r="D106" s="76"/>
      <c r="E106" s="38">
        <f t="shared" si="9"/>
        <v>12000</v>
      </c>
      <c r="F106" s="11">
        <f>SUM(F107)</f>
        <v>0</v>
      </c>
      <c r="G106" s="11">
        <f>SUM(G107)</f>
        <v>12000</v>
      </c>
      <c r="H106" s="11">
        <f>SUM(H107)</f>
        <v>0</v>
      </c>
      <c r="I106" s="11">
        <f>SUM(I107)</f>
        <v>0</v>
      </c>
      <c r="J106" s="20">
        <f>SUM(F106:I106)+K106+L106+M106</f>
        <v>12000</v>
      </c>
      <c r="K106" s="11">
        <f>SUM(K107)</f>
        <v>0</v>
      </c>
      <c r="L106" s="11">
        <f>SUM(L107)</f>
        <v>0</v>
      </c>
      <c r="M106" s="11">
        <f>SUM(M107)</f>
        <v>0</v>
      </c>
      <c r="N106" s="11">
        <v>0</v>
      </c>
    </row>
    <row r="107" spans="1:14" ht="20.25" customHeight="1">
      <c r="A107" s="37" t="s">
        <v>278</v>
      </c>
      <c r="B107" s="95" t="s">
        <v>283</v>
      </c>
      <c r="C107" s="30" t="s">
        <v>587</v>
      </c>
      <c r="D107" s="60">
        <v>2008</v>
      </c>
      <c r="E107" s="62">
        <f t="shared" si="9"/>
        <v>12000</v>
      </c>
      <c r="F107" s="100"/>
      <c r="G107" s="100">
        <v>12000</v>
      </c>
      <c r="H107" s="100"/>
      <c r="I107" s="101"/>
      <c r="J107" s="65">
        <f>E107+K107+L107+M107</f>
        <v>12000</v>
      </c>
      <c r="K107" s="102"/>
      <c r="L107" s="142"/>
      <c r="M107" s="142"/>
      <c r="N107" s="402">
        <v>0</v>
      </c>
    </row>
    <row r="108" spans="1:14" ht="25.5" customHeight="1">
      <c r="A108" s="37"/>
      <c r="B108" s="3" t="s">
        <v>308</v>
      </c>
      <c r="C108" s="6" t="s">
        <v>84</v>
      </c>
      <c r="D108" s="68"/>
      <c r="E108" s="38">
        <f t="shared" si="9"/>
        <v>1070000</v>
      </c>
      <c r="F108" s="19">
        <f>F109</f>
        <v>0</v>
      </c>
      <c r="G108" s="19">
        <f>G109</f>
        <v>1070000</v>
      </c>
      <c r="H108" s="19">
        <f>H109</f>
        <v>0</v>
      </c>
      <c r="I108" s="89">
        <f>I109</f>
        <v>0</v>
      </c>
      <c r="J108" s="20">
        <f t="shared" si="8"/>
        <v>1070000</v>
      </c>
      <c r="K108" s="77">
        <f>SUM(K109:K109)</f>
        <v>0</v>
      </c>
      <c r="L108" s="77">
        <f>SUM(L109:L109)</f>
        <v>0</v>
      </c>
      <c r="M108" s="11">
        <f>SUM(M109:M109)</f>
        <v>0</v>
      </c>
      <c r="N108" s="399">
        <f>SUM(N109:N109)</f>
        <v>640</v>
      </c>
    </row>
    <row r="109" spans="1:14" ht="20.25" customHeight="1">
      <c r="A109" s="37" t="s">
        <v>278</v>
      </c>
      <c r="B109" s="39" t="s">
        <v>283</v>
      </c>
      <c r="C109" s="23" t="s">
        <v>10</v>
      </c>
      <c r="D109" s="68" t="s">
        <v>123</v>
      </c>
      <c r="E109" s="25">
        <f t="shared" si="9"/>
        <v>1070000</v>
      </c>
      <c r="F109" s="26">
        <v>0</v>
      </c>
      <c r="G109" s="26">
        <f>780000+290000</f>
        <v>1070000</v>
      </c>
      <c r="H109" s="26">
        <v>0</v>
      </c>
      <c r="I109" s="28">
        <v>0</v>
      </c>
      <c r="J109" s="27">
        <f t="shared" si="8"/>
        <v>1070000</v>
      </c>
      <c r="K109" s="71">
        <v>0</v>
      </c>
      <c r="L109" s="71">
        <v>0</v>
      </c>
      <c r="M109" s="69">
        <v>0</v>
      </c>
      <c r="N109" s="406">
        <v>640</v>
      </c>
    </row>
    <row r="110" spans="1:14" ht="31.5" customHeight="1">
      <c r="A110" s="72"/>
      <c r="B110" s="34" t="s">
        <v>311</v>
      </c>
      <c r="C110" s="33" t="s">
        <v>85</v>
      </c>
      <c r="D110" s="74"/>
      <c r="E110" s="75">
        <f t="shared" si="9"/>
        <v>1000000</v>
      </c>
      <c r="F110" s="78">
        <f>SUM(F111)</f>
        <v>0</v>
      </c>
      <c r="G110" s="78">
        <f>SUM(G111)</f>
        <v>1000000</v>
      </c>
      <c r="H110" s="78">
        <f>SUM(H111)</f>
        <v>0</v>
      </c>
      <c r="I110" s="79">
        <f>SUM(I111)</f>
        <v>0</v>
      </c>
      <c r="J110" s="36">
        <f t="shared" si="8"/>
        <v>1000000</v>
      </c>
      <c r="K110" s="80">
        <f>K111</f>
        <v>0</v>
      </c>
      <c r="L110" s="80">
        <f>L111</f>
        <v>0</v>
      </c>
      <c r="M110" s="80">
        <f>M111</f>
        <v>0</v>
      </c>
      <c r="N110" s="404">
        <f>N111</f>
        <v>2744</v>
      </c>
    </row>
    <row r="111" spans="1:14" ht="18.75" customHeight="1">
      <c r="A111" s="37" t="s">
        <v>278</v>
      </c>
      <c r="B111" s="39" t="s">
        <v>283</v>
      </c>
      <c r="C111" s="23" t="s">
        <v>313</v>
      </c>
      <c r="D111" s="68" t="s">
        <v>544</v>
      </c>
      <c r="E111" s="25">
        <f t="shared" si="9"/>
        <v>1000000</v>
      </c>
      <c r="F111" s="26">
        <v>0</v>
      </c>
      <c r="G111" s="26">
        <v>1000000</v>
      </c>
      <c r="H111" s="26">
        <v>0</v>
      </c>
      <c r="I111" s="28">
        <v>0</v>
      </c>
      <c r="J111" s="27">
        <f t="shared" si="8"/>
        <v>1000000</v>
      </c>
      <c r="K111" s="71">
        <v>0</v>
      </c>
      <c r="L111" s="26">
        <v>0</v>
      </c>
      <c r="M111" s="26">
        <f>K111+L111</f>
        <v>0</v>
      </c>
      <c r="N111" s="97">
        <v>2744</v>
      </c>
    </row>
    <row r="112" spans="1:14" ht="25.5" customHeight="1">
      <c r="A112" s="72"/>
      <c r="B112" s="34" t="s">
        <v>314</v>
      </c>
      <c r="C112" s="33" t="s">
        <v>86</v>
      </c>
      <c r="D112" s="74"/>
      <c r="E112" s="75">
        <f t="shared" si="9"/>
        <v>1256000</v>
      </c>
      <c r="F112" s="78">
        <f>SUM(F113:F116)</f>
        <v>0</v>
      </c>
      <c r="G112" s="78">
        <f>SUM(G113:G116)</f>
        <v>1256000</v>
      </c>
      <c r="H112" s="78">
        <f>SUM(H113)</f>
        <v>0</v>
      </c>
      <c r="I112" s="79">
        <f>SUM(I113)</f>
        <v>0</v>
      </c>
      <c r="J112" s="36">
        <f>E112+K112+L112+M112</f>
        <v>1256000</v>
      </c>
      <c r="K112" s="80">
        <v>0</v>
      </c>
      <c r="L112" s="78">
        <v>0</v>
      </c>
      <c r="M112" s="78">
        <v>0</v>
      </c>
      <c r="N112" s="401">
        <v>0</v>
      </c>
    </row>
    <row r="113" spans="1:14" ht="34.5" customHeight="1">
      <c r="A113" s="37" t="s">
        <v>278</v>
      </c>
      <c r="B113" s="39" t="s">
        <v>283</v>
      </c>
      <c r="C113" s="23" t="s">
        <v>73</v>
      </c>
      <c r="D113" s="68">
        <v>2008</v>
      </c>
      <c r="E113" s="25">
        <f t="shared" si="9"/>
        <v>450000</v>
      </c>
      <c r="F113" s="26">
        <v>0</v>
      </c>
      <c r="G113" s="26">
        <v>450000</v>
      </c>
      <c r="H113" s="26">
        <v>0</v>
      </c>
      <c r="I113" s="28">
        <v>0</v>
      </c>
      <c r="J113" s="27">
        <f t="shared" si="8"/>
        <v>450000</v>
      </c>
      <c r="K113" s="71">
        <v>0</v>
      </c>
      <c r="L113" s="26">
        <v>0</v>
      </c>
      <c r="M113" s="26">
        <f>K113+L113</f>
        <v>0</v>
      </c>
      <c r="N113" s="97">
        <v>0</v>
      </c>
    </row>
    <row r="114" spans="1:14" ht="21.75" customHeight="1">
      <c r="A114" s="37" t="s">
        <v>280</v>
      </c>
      <c r="B114" s="39" t="s">
        <v>329</v>
      </c>
      <c r="C114" s="23" t="s">
        <v>173</v>
      </c>
      <c r="D114" s="68">
        <v>2008</v>
      </c>
      <c r="E114" s="25">
        <f>SUM(F114:I114)</f>
        <v>30000</v>
      </c>
      <c r="F114" s="26">
        <v>0</v>
      </c>
      <c r="G114" s="26">
        <v>30000</v>
      </c>
      <c r="H114" s="26">
        <v>0</v>
      </c>
      <c r="I114" s="28">
        <v>0</v>
      </c>
      <c r="J114" s="27">
        <f>E114+K114+L114+M114</f>
        <v>30000</v>
      </c>
      <c r="K114" s="71">
        <v>0</v>
      </c>
      <c r="L114" s="26">
        <v>0</v>
      </c>
      <c r="M114" s="26">
        <f>K114+L114</f>
        <v>0</v>
      </c>
      <c r="N114" s="97">
        <v>1</v>
      </c>
    </row>
    <row r="115" spans="1:14" ht="24" customHeight="1">
      <c r="A115" s="37" t="s">
        <v>282</v>
      </c>
      <c r="B115" s="39" t="s">
        <v>283</v>
      </c>
      <c r="C115" s="23" t="s">
        <v>64</v>
      </c>
      <c r="D115" s="68">
        <v>2008</v>
      </c>
      <c r="E115" s="25">
        <f>SUM(F115:I115)</f>
        <v>600000</v>
      </c>
      <c r="F115" s="26">
        <v>0</v>
      </c>
      <c r="G115" s="26">
        <v>600000</v>
      </c>
      <c r="H115" s="26">
        <v>0</v>
      </c>
      <c r="I115" s="28">
        <v>0</v>
      </c>
      <c r="J115" s="27">
        <f>E115+K115+L115+M115</f>
        <v>600000</v>
      </c>
      <c r="K115" s="71">
        <v>0</v>
      </c>
      <c r="L115" s="26">
        <v>0</v>
      </c>
      <c r="M115" s="26">
        <f>K115+L115</f>
        <v>0</v>
      </c>
      <c r="N115" s="97">
        <v>2</v>
      </c>
    </row>
    <row r="116" spans="1:14" ht="23.25" customHeight="1">
      <c r="A116" s="37" t="s">
        <v>284</v>
      </c>
      <c r="B116" s="39" t="s">
        <v>283</v>
      </c>
      <c r="C116" s="30" t="s">
        <v>45</v>
      </c>
      <c r="D116" s="68">
        <v>2008</v>
      </c>
      <c r="E116" s="25">
        <f t="shared" si="9"/>
        <v>176000</v>
      </c>
      <c r="F116" s="32">
        <v>0</v>
      </c>
      <c r="G116" s="32">
        <v>176000</v>
      </c>
      <c r="H116" s="32"/>
      <c r="I116" s="73"/>
      <c r="J116" s="27">
        <f t="shared" si="8"/>
        <v>176000</v>
      </c>
      <c r="K116" s="66"/>
      <c r="L116" s="32"/>
      <c r="M116" s="32"/>
      <c r="N116" s="100"/>
    </row>
    <row r="117" spans="1:17" ht="29.25" customHeight="1">
      <c r="A117" s="33"/>
      <c r="B117" s="34" t="s">
        <v>317</v>
      </c>
      <c r="C117" s="33" t="s">
        <v>87</v>
      </c>
      <c r="D117" s="82"/>
      <c r="E117" s="75">
        <f t="shared" si="9"/>
        <v>21575000</v>
      </c>
      <c r="F117" s="35">
        <f>F121+F125+F126+F130+F131+F132+F136+F137+F138+F142+F143+F144+F145+F149+F146+F147+F148</f>
        <v>84000</v>
      </c>
      <c r="G117" s="35">
        <f>G121+G125+G126+G130+G131+G132+G136+G137+G138+G142+G143+G144+G145+G149+G146+G147+G148</f>
        <v>11446393</v>
      </c>
      <c r="H117" s="35">
        <f>H121+H125+H126+H130+H131+H132+H136+H137+H138+H142+H143+H144+H145+H149+H146+H147+H148</f>
        <v>520000</v>
      </c>
      <c r="I117" s="35">
        <f>I121+I125+I126+I130+I131+I132+I136+I137+I138+I142+I143+I144+I145+I149+I146+I147+I148</f>
        <v>9524607</v>
      </c>
      <c r="J117" s="36">
        <f>E117+K117+L117+M117</f>
        <v>21705000</v>
      </c>
      <c r="K117" s="35">
        <f>K121+K125+K126+K130+K131+K132+K136+K137+K138+K142+K143+K144+K145+K149+K146+K147+K148</f>
        <v>130000</v>
      </c>
      <c r="L117" s="35">
        <f>L121+L125+L126+L130+L131+L132+L136+L137+L138+L142+L143+L144+L145+L149+L146+L147+L148</f>
        <v>0</v>
      </c>
      <c r="M117" s="35">
        <f>M121+M125+M126+M130+M131+M132+M136+M137+M138+M142+M143+M144+M145+M149+M146+M147+M148</f>
        <v>0</v>
      </c>
      <c r="N117" s="35">
        <f>N121+N125+N126+N130+N131+N132+N136+N137+N138+N142+N143+N144+N145+N149+N146+N147+N148</f>
        <v>8520</v>
      </c>
      <c r="Q117" s="138" t="s">
        <v>554</v>
      </c>
    </row>
    <row r="118" spans="1:14" ht="14.25" customHeight="1">
      <c r="A118" s="422" t="s">
        <v>278</v>
      </c>
      <c r="B118" s="39" t="s">
        <v>319</v>
      </c>
      <c r="C118" s="425" t="s">
        <v>80</v>
      </c>
      <c r="D118" s="485" t="s">
        <v>436</v>
      </c>
      <c r="E118" s="61">
        <f>SUM(F118:I118)</f>
        <v>1487000</v>
      </c>
      <c r="F118" s="54"/>
      <c r="G118" s="54"/>
      <c r="H118" s="54"/>
      <c r="I118" s="55">
        <v>1487000</v>
      </c>
      <c r="J118" s="56">
        <f>E118+K118+L118+M118</f>
        <v>1487000</v>
      </c>
      <c r="K118" s="57"/>
      <c r="L118" s="58"/>
      <c r="M118" s="58"/>
      <c r="N118" s="58"/>
    </row>
    <row r="119" spans="1:14" ht="13.5" customHeight="1">
      <c r="A119" s="423"/>
      <c r="B119" s="39" t="s">
        <v>370</v>
      </c>
      <c r="C119" s="426"/>
      <c r="D119" s="486"/>
      <c r="E119" s="61">
        <f>SUM(F119:I119)</f>
        <v>1217000</v>
      </c>
      <c r="F119" s="54"/>
      <c r="G119" s="54">
        <v>947000</v>
      </c>
      <c r="H119" s="54"/>
      <c r="I119" s="55">
        <v>270000</v>
      </c>
      <c r="J119" s="56">
        <f>E119+K119+L119+M119</f>
        <v>1217000</v>
      </c>
      <c r="K119" s="57"/>
      <c r="L119" s="58"/>
      <c r="M119" s="58"/>
      <c r="N119" s="58"/>
    </row>
    <row r="120" spans="1:14" ht="13.5" customHeight="1">
      <c r="A120" s="423"/>
      <c r="B120" s="39" t="s">
        <v>283</v>
      </c>
      <c r="C120" s="426"/>
      <c r="D120" s="486"/>
      <c r="E120" s="61">
        <f>SUM(F120:I120)</f>
        <v>3446000</v>
      </c>
      <c r="F120" s="54"/>
      <c r="G120" s="54">
        <v>3446000</v>
      </c>
      <c r="H120" s="54"/>
      <c r="I120" s="55"/>
      <c r="J120" s="56">
        <f>E120+K120+L120+M120</f>
        <v>3446000</v>
      </c>
      <c r="K120" s="57"/>
      <c r="L120" s="58"/>
      <c r="M120" s="58"/>
      <c r="N120" s="58"/>
    </row>
    <row r="121" spans="1:14" ht="14.25" customHeight="1">
      <c r="A121" s="424"/>
      <c r="B121" s="3" t="s">
        <v>101</v>
      </c>
      <c r="C121" s="427"/>
      <c r="D121" s="487"/>
      <c r="E121" s="93">
        <f>SUM(E118:E120)</f>
        <v>6150000</v>
      </c>
      <c r="F121" s="94">
        <f>SUM(F118:F120)</f>
        <v>0</v>
      </c>
      <c r="G121" s="94">
        <f>SUM(G118:G120)</f>
        <v>4393000</v>
      </c>
      <c r="H121" s="94">
        <f>SUM(H118:H120)</f>
        <v>0</v>
      </c>
      <c r="I121" s="94">
        <f>SUM(I118:I120)</f>
        <v>1757000</v>
      </c>
      <c r="J121" s="318">
        <f>E121+K121+L121+M121</f>
        <v>6150000</v>
      </c>
      <c r="K121" s="113"/>
      <c r="L121" s="94"/>
      <c r="M121" s="94"/>
      <c r="N121" s="94">
        <v>0</v>
      </c>
    </row>
    <row r="122" spans="1:14" ht="12" customHeight="1">
      <c r="A122" s="422" t="s">
        <v>280</v>
      </c>
      <c r="B122" s="39" t="s">
        <v>319</v>
      </c>
      <c r="C122" s="425" t="s">
        <v>223</v>
      </c>
      <c r="D122" s="485" t="s">
        <v>525</v>
      </c>
      <c r="E122" s="61">
        <f t="shared" si="9"/>
        <v>2179000</v>
      </c>
      <c r="F122" s="54"/>
      <c r="G122" s="54"/>
      <c r="H122" s="54"/>
      <c r="I122" s="55">
        <v>2179000</v>
      </c>
      <c r="J122" s="56">
        <f t="shared" si="8"/>
        <v>2179000</v>
      </c>
      <c r="K122" s="57"/>
      <c r="L122" s="58"/>
      <c r="M122" s="58"/>
      <c r="N122" s="58"/>
    </row>
    <row r="123" spans="1:14" ht="13.5" customHeight="1">
      <c r="A123" s="423"/>
      <c r="B123" s="39" t="s">
        <v>370</v>
      </c>
      <c r="C123" s="426"/>
      <c r="D123" s="486"/>
      <c r="E123" s="61">
        <f t="shared" si="9"/>
        <v>545000</v>
      </c>
      <c r="F123" s="54"/>
      <c r="G123" s="54">
        <v>545000</v>
      </c>
      <c r="H123" s="54"/>
      <c r="I123" s="55"/>
      <c r="J123" s="56">
        <f t="shared" si="8"/>
        <v>545000</v>
      </c>
      <c r="K123" s="57"/>
      <c r="L123" s="58"/>
      <c r="M123" s="58"/>
      <c r="N123" s="58"/>
    </row>
    <row r="124" spans="1:14" ht="13.5" customHeight="1">
      <c r="A124" s="423"/>
      <c r="B124" s="39" t="s">
        <v>283</v>
      </c>
      <c r="C124" s="426"/>
      <c r="D124" s="486"/>
      <c r="E124" s="61">
        <f t="shared" si="9"/>
        <v>182000</v>
      </c>
      <c r="F124" s="287"/>
      <c r="G124" s="54">
        <v>182000</v>
      </c>
      <c r="H124" s="54"/>
      <c r="I124" s="55"/>
      <c r="J124" s="56">
        <f t="shared" si="8"/>
        <v>182000</v>
      </c>
      <c r="K124" s="113"/>
      <c r="L124" s="94"/>
      <c r="M124" s="94"/>
      <c r="N124" s="94"/>
    </row>
    <row r="125" spans="1:14" ht="12.75" customHeight="1">
      <c r="A125" s="424"/>
      <c r="B125" s="3" t="s">
        <v>101</v>
      </c>
      <c r="C125" s="427"/>
      <c r="D125" s="487"/>
      <c r="E125" s="93">
        <f>SUM(E122:E124)</f>
        <v>2906000</v>
      </c>
      <c r="F125" s="94">
        <f>SUM(F122:F124)</f>
        <v>0</v>
      </c>
      <c r="G125" s="94">
        <f>SUM(G122:G124)</f>
        <v>727000</v>
      </c>
      <c r="H125" s="94">
        <f>SUM(H122:H124)</f>
        <v>0</v>
      </c>
      <c r="I125" s="94">
        <f>SUM(I122:I124)</f>
        <v>2179000</v>
      </c>
      <c r="J125" s="318">
        <f t="shared" si="8"/>
        <v>2906000</v>
      </c>
      <c r="K125" s="113"/>
      <c r="L125" s="94"/>
      <c r="M125" s="94"/>
      <c r="N125" s="94">
        <v>2906</v>
      </c>
    </row>
    <row r="126" spans="1:14" ht="18.75" customHeight="1">
      <c r="A126" s="49" t="s">
        <v>282</v>
      </c>
      <c r="B126" s="39" t="s">
        <v>283</v>
      </c>
      <c r="C126" s="23" t="s">
        <v>580</v>
      </c>
      <c r="D126" s="68">
        <v>2008</v>
      </c>
      <c r="E126" s="25">
        <f aca="true" t="shared" si="11" ref="E126:E149">SUM(F126:I126)</f>
        <v>60000</v>
      </c>
      <c r="F126" s="69"/>
      <c r="G126" s="69">
        <v>60000</v>
      </c>
      <c r="H126" s="69"/>
      <c r="I126" s="70">
        <v>0</v>
      </c>
      <c r="J126" s="56">
        <f t="shared" si="8"/>
        <v>60000</v>
      </c>
      <c r="K126" s="71"/>
      <c r="L126" s="26">
        <v>0</v>
      </c>
      <c r="M126" s="26">
        <v>0</v>
      </c>
      <c r="N126" s="26"/>
    </row>
    <row r="127" spans="1:14" ht="13.5" customHeight="1">
      <c r="A127" s="422" t="s">
        <v>284</v>
      </c>
      <c r="B127" s="39" t="s">
        <v>319</v>
      </c>
      <c r="C127" s="425" t="s">
        <v>532</v>
      </c>
      <c r="D127" s="485" t="s">
        <v>538</v>
      </c>
      <c r="E127" s="61">
        <f>SUM(F127:I127)</f>
        <v>1500000</v>
      </c>
      <c r="F127" s="54"/>
      <c r="G127" s="54"/>
      <c r="H127" s="54"/>
      <c r="I127" s="55">
        <v>1500000</v>
      </c>
      <c r="J127" s="56">
        <f t="shared" si="8"/>
        <v>1500000</v>
      </c>
      <c r="K127" s="57"/>
      <c r="L127" s="58"/>
      <c r="M127" s="58"/>
      <c r="N127" s="58"/>
    </row>
    <row r="128" spans="1:14" ht="13.5" customHeight="1">
      <c r="A128" s="423"/>
      <c r="B128" s="39" t="s">
        <v>370</v>
      </c>
      <c r="C128" s="426"/>
      <c r="D128" s="486"/>
      <c r="E128" s="61">
        <f>SUM(F128:I128)</f>
        <v>500000</v>
      </c>
      <c r="F128" s="54"/>
      <c r="G128" s="54">
        <v>500000</v>
      </c>
      <c r="H128" s="54"/>
      <c r="I128" s="55"/>
      <c r="J128" s="56">
        <f t="shared" si="8"/>
        <v>500000</v>
      </c>
      <c r="K128" s="57"/>
      <c r="L128" s="58"/>
      <c r="M128" s="58"/>
      <c r="N128" s="58"/>
    </row>
    <row r="129" spans="1:14" ht="13.5" customHeight="1">
      <c r="A129" s="423"/>
      <c r="B129" s="39" t="s">
        <v>283</v>
      </c>
      <c r="C129" s="426"/>
      <c r="D129" s="486"/>
      <c r="E129" s="61">
        <f>SUM(F129:I129)</f>
        <v>55000</v>
      </c>
      <c r="F129" s="54"/>
      <c r="G129" s="54">
        <v>55000</v>
      </c>
      <c r="H129" s="54"/>
      <c r="I129" s="55"/>
      <c r="J129" s="56">
        <f t="shared" si="8"/>
        <v>55000</v>
      </c>
      <c r="K129" s="57"/>
      <c r="L129" s="58"/>
      <c r="M129" s="58"/>
      <c r="N129" s="58"/>
    </row>
    <row r="130" spans="1:14" ht="13.5" customHeight="1">
      <c r="A130" s="424"/>
      <c r="B130" s="3" t="s">
        <v>101</v>
      </c>
      <c r="C130" s="427"/>
      <c r="D130" s="487"/>
      <c r="E130" s="93">
        <f>SUM(E127:E129)</f>
        <v>2055000</v>
      </c>
      <c r="F130" s="94">
        <f>SUM(F127:F129)</f>
        <v>0</v>
      </c>
      <c r="G130" s="94">
        <f>SUM(G127:G129)</f>
        <v>555000</v>
      </c>
      <c r="H130" s="94">
        <f>SUM(H127:H129)</f>
        <v>0</v>
      </c>
      <c r="I130" s="94">
        <f>SUM(I127:I129)</f>
        <v>1500000</v>
      </c>
      <c r="J130" s="318">
        <f t="shared" si="8"/>
        <v>2055000</v>
      </c>
      <c r="K130" s="113"/>
      <c r="L130" s="94"/>
      <c r="M130" s="94"/>
      <c r="N130" s="94">
        <v>2906</v>
      </c>
    </row>
    <row r="131" spans="1:16" ht="20.25" customHeight="1">
      <c r="A131" s="49" t="s">
        <v>286</v>
      </c>
      <c r="B131" s="39" t="s">
        <v>283</v>
      </c>
      <c r="C131" s="23" t="s">
        <v>197</v>
      </c>
      <c r="D131" s="68" t="s">
        <v>578</v>
      </c>
      <c r="E131" s="25">
        <f t="shared" si="11"/>
        <v>180000</v>
      </c>
      <c r="F131" s="69"/>
      <c r="G131" s="69">
        <v>180000</v>
      </c>
      <c r="H131" s="69">
        <v>0</v>
      </c>
      <c r="I131" s="70">
        <v>0</v>
      </c>
      <c r="J131" s="27">
        <f t="shared" si="8"/>
        <v>240000</v>
      </c>
      <c r="K131" s="71">
        <v>60000</v>
      </c>
      <c r="L131" s="26">
        <v>0</v>
      </c>
      <c r="M131" s="26">
        <v>0</v>
      </c>
      <c r="N131" s="97">
        <v>180</v>
      </c>
      <c r="O131" s="327"/>
      <c r="P131" s="138" t="s">
        <v>435</v>
      </c>
    </row>
    <row r="132" spans="1:15" ht="24.75" customHeight="1">
      <c r="A132" s="49" t="s">
        <v>287</v>
      </c>
      <c r="B132" s="39" t="s">
        <v>283</v>
      </c>
      <c r="C132" s="23" t="s">
        <v>34</v>
      </c>
      <c r="D132" s="68" t="s">
        <v>578</v>
      </c>
      <c r="E132" s="25">
        <f t="shared" si="11"/>
        <v>750000</v>
      </c>
      <c r="F132" s="69"/>
      <c r="G132" s="69">
        <v>150000</v>
      </c>
      <c r="H132" s="69"/>
      <c r="I132" s="70">
        <v>600000</v>
      </c>
      <c r="J132" s="27">
        <f t="shared" si="8"/>
        <v>750000</v>
      </c>
      <c r="K132" s="71"/>
      <c r="L132" s="295"/>
      <c r="M132" s="295"/>
      <c r="N132" s="131">
        <v>750</v>
      </c>
      <c r="O132" s="327"/>
    </row>
    <row r="133" spans="1:71" s="326" customFormat="1" ht="14.25" customHeight="1">
      <c r="A133" s="422" t="s">
        <v>288</v>
      </c>
      <c r="B133" s="50" t="s">
        <v>283</v>
      </c>
      <c r="C133" s="425" t="s">
        <v>66</v>
      </c>
      <c r="D133" s="443" t="s">
        <v>144</v>
      </c>
      <c r="E133" s="61">
        <f t="shared" si="11"/>
        <v>500000</v>
      </c>
      <c r="F133" s="54"/>
      <c r="G133" s="54">
        <v>500000</v>
      </c>
      <c r="H133" s="54"/>
      <c r="I133" s="55"/>
      <c r="J133" s="56">
        <f t="shared" si="8"/>
        <v>500000</v>
      </c>
      <c r="K133" s="57"/>
      <c r="L133" s="58"/>
      <c r="M133" s="58"/>
      <c r="N133" s="405">
        <v>39569</v>
      </c>
      <c r="O133" s="304"/>
      <c r="P133" s="138"/>
      <c r="Q133" s="138"/>
      <c r="R133" s="2"/>
      <c r="S133" s="2"/>
      <c r="T133" s="2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04"/>
      <c r="BE133" s="304"/>
      <c r="BF133" s="304"/>
      <c r="BG133" s="304"/>
      <c r="BH133" s="304"/>
      <c r="BI133" s="304"/>
      <c r="BJ133" s="304"/>
      <c r="BK133" s="304"/>
      <c r="BL133" s="304"/>
      <c r="BM133" s="304"/>
      <c r="BN133" s="304"/>
      <c r="BO133" s="304"/>
      <c r="BP133" s="304"/>
      <c r="BQ133" s="304"/>
      <c r="BR133" s="304"/>
      <c r="BS133" s="304"/>
    </row>
    <row r="134" spans="1:71" s="326" customFormat="1" ht="14.25" customHeight="1">
      <c r="A134" s="423"/>
      <c r="B134" s="294" t="s">
        <v>319</v>
      </c>
      <c r="C134" s="426"/>
      <c r="D134" s="444"/>
      <c r="E134" s="43">
        <f t="shared" si="11"/>
        <v>1688607</v>
      </c>
      <c r="F134" s="144"/>
      <c r="G134" s="144"/>
      <c r="H134" s="144"/>
      <c r="I134" s="407">
        <f>1358607+330000</f>
        <v>1688607</v>
      </c>
      <c r="J134" s="46">
        <f t="shared" si="8"/>
        <v>1688607</v>
      </c>
      <c r="K134" s="47"/>
      <c r="L134" s="44"/>
      <c r="M134" s="44"/>
      <c r="N134" s="408">
        <v>0</v>
      </c>
      <c r="O134" s="304"/>
      <c r="P134" s="138"/>
      <c r="Q134" s="138"/>
      <c r="R134" s="2"/>
      <c r="S134" s="2"/>
      <c r="T134" s="2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4"/>
      <c r="BE134" s="304"/>
      <c r="BF134" s="304"/>
      <c r="BG134" s="304"/>
      <c r="BH134" s="304"/>
      <c r="BI134" s="304"/>
      <c r="BJ134" s="304"/>
      <c r="BK134" s="304"/>
      <c r="BL134" s="304"/>
      <c r="BM134" s="304"/>
      <c r="BN134" s="304"/>
      <c r="BO134" s="304"/>
      <c r="BP134" s="304"/>
      <c r="BQ134" s="304"/>
      <c r="BR134" s="304"/>
      <c r="BS134" s="304"/>
    </row>
    <row r="135" spans="1:14" ht="12" customHeight="1">
      <c r="A135" s="423"/>
      <c r="B135" s="140" t="s">
        <v>370</v>
      </c>
      <c r="C135" s="427"/>
      <c r="D135" s="445"/>
      <c r="E135" s="62">
        <f t="shared" si="11"/>
        <v>1311393</v>
      </c>
      <c r="F135" s="63"/>
      <c r="G135" s="63">
        <f>1141393+170000</f>
        <v>1311393</v>
      </c>
      <c r="H135" s="63"/>
      <c r="I135" s="64"/>
      <c r="J135" s="65">
        <f t="shared" si="8"/>
        <v>1311393</v>
      </c>
      <c r="K135" s="66"/>
      <c r="L135" s="32"/>
      <c r="M135" s="32"/>
      <c r="N135" s="100"/>
    </row>
    <row r="136" spans="1:14" ht="15.75" customHeight="1">
      <c r="A136" s="348"/>
      <c r="B136" s="339" t="s">
        <v>461</v>
      </c>
      <c r="C136" s="291"/>
      <c r="D136" s="409"/>
      <c r="E136" s="93">
        <f t="shared" si="11"/>
        <v>3500000</v>
      </c>
      <c r="F136" s="358">
        <f>SUM(F133:F135)</f>
        <v>0</v>
      </c>
      <c r="G136" s="358">
        <f>SUM(G133:G135)</f>
        <v>1811393</v>
      </c>
      <c r="H136" s="358">
        <f>SUM(H133:H135)</f>
        <v>0</v>
      </c>
      <c r="I136" s="358">
        <f>SUM(I133:I135)</f>
        <v>1688607</v>
      </c>
      <c r="J136" s="318">
        <f t="shared" si="8"/>
        <v>3500000</v>
      </c>
      <c r="K136" s="144">
        <f>SUM(K133:K135)</f>
        <v>0</v>
      </c>
      <c r="L136" s="144">
        <f>SUM(L133:L135)</f>
        <v>0</v>
      </c>
      <c r="M136" s="144">
        <f>SUM(M133:M135)</f>
        <v>0</v>
      </c>
      <c r="N136" s="144">
        <v>0</v>
      </c>
    </row>
    <row r="137" spans="1:14" ht="18" customHeight="1">
      <c r="A137" s="349" t="s">
        <v>290</v>
      </c>
      <c r="B137" s="39" t="s">
        <v>283</v>
      </c>
      <c r="C137" s="23" t="s">
        <v>60</v>
      </c>
      <c r="D137" s="388" t="s">
        <v>578</v>
      </c>
      <c r="E137" s="25">
        <f t="shared" si="11"/>
        <v>380000</v>
      </c>
      <c r="F137" s="69"/>
      <c r="G137" s="69">
        <v>380000</v>
      </c>
      <c r="H137" s="69"/>
      <c r="I137" s="70"/>
      <c r="J137" s="27">
        <f t="shared" si="8"/>
        <v>450000</v>
      </c>
      <c r="K137" s="71">
        <v>70000</v>
      </c>
      <c r="L137" s="69"/>
      <c r="M137" s="69"/>
      <c r="N137" s="69">
        <v>120</v>
      </c>
    </row>
    <row r="138" spans="1:14" ht="25.5" customHeight="1">
      <c r="A138" s="349" t="s">
        <v>291</v>
      </c>
      <c r="B138" s="39" t="s">
        <v>283</v>
      </c>
      <c r="C138" s="23" t="s">
        <v>88</v>
      </c>
      <c r="D138" s="388" t="s">
        <v>578</v>
      </c>
      <c r="E138" s="25">
        <f t="shared" si="11"/>
        <v>1806000</v>
      </c>
      <c r="F138" s="69"/>
      <c r="G138" s="69">
        <f>1420000+186000</f>
        <v>1606000</v>
      </c>
      <c r="H138" s="69">
        <v>200000</v>
      </c>
      <c r="I138" s="70"/>
      <c r="J138" s="27">
        <f t="shared" si="8"/>
        <v>1806000</v>
      </c>
      <c r="K138" s="71"/>
      <c r="L138" s="69"/>
      <c r="M138" s="69"/>
      <c r="N138" s="69">
        <v>1620</v>
      </c>
    </row>
    <row r="139" spans="1:14" ht="13.5" customHeight="1">
      <c r="A139" s="422" t="s">
        <v>293</v>
      </c>
      <c r="B139" s="39" t="s">
        <v>319</v>
      </c>
      <c r="C139" s="425" t="s">
        <v>533</v>
      </c>
      <c r="D139" s="485" t="s">
        <v>578</v>
      </c>
      <c r="E139" s="61">
        <f>SUM(F139:I139)</f>
        <v>1800000</v>
      </c>
      <c r="F139" s="54"/>
      <c r="G139" s="54"/>
      <c r="H139" s="54"/>
      <c r="I139" s="55">
        <v>1800000</v>
      </c>
      <c r="J139" s="56">
        <f>E139+K139+L139+M139</f>
        <v>1800000</v>
      </c>
      <c r="K139" s="57"/>
      <c r="L139" s="58"/>
      <c r="M139" s="58"/>
      <c r="N139" s="58"/>
    </row>
    <row r="140" spans="1:14" ht="13.5" customHeight="1">
      <c r="A140" s="423"/>
      <c r="B140" s="39" t="s">
        <v>370</v>
      </c>
      <c r="C140" s="426"/>
      <c r="D140" s="486"/>
      <c r="E140" s="61">
        <f>SUM(F140:I140)</f>
        <v>535000</v>
      </c>
      <c r="F140" s="54"/>
      <c r="G140" s="54">
        <v>535000</v>
      </c>
      <c r="H140" s="54"/>
      <c r="I140" s="55"/>
      <c r="J140" s="56">
        <f>E140+K140+L140+M140</f>
        <v>535000</v>
      </c>
      <c r="K140" s="57"/>
      <c r="L140" s="58"/>
      <c r="M140" s="58"/>
      <c r="N140" s="58"/>
    </row>
    <row r="141" spans="1:14" ht="13.5" customHeight="1">
      <c r="A141" s="423"/>
      <c r="B141" s="39" t="s">
        <v>283</v>
      </c>
      <c r="C141" s="426"/>
      <c r="D141" s="486"/>
      <c r="E141" s="61">
        <f>SUM(F141:I141)</f>
        <v>45000</v>
      </c>
      <c r="F141" s="54">
        <v>45000</v>
      </c>
      <c r="G141" s="54"/>
      <c r="H141" s="54"/>
      <c r="I141" s="55"/>
      <c r="J141" s="56">
        <f>E141+K141+L141+M141</f>
        <v>45000</v>
      </c>
      <c r="K141" s="57"/>
      <c r="L141" s="58"/>
      <c r="M141" s="58"/>
      <c r="N141" s="58"/>
    </row>
    <row r="142" spans="1:14" ht="15.75" customHeight="1">
      <c r="A142" s="424"/>
      <c r="B142" s="3" t="s">
        <v>101</v>
      </c>
      <c r="C142" s="427"/>
      <c r="D142" s="487"/>
      <c r="E142" s="93">
        <f>SUM(E139:E141)</f>
        <v>2380000</v>
      </c>
      <c r="F142" s="94">
        <f>SUM(F139:F141)</f>
        <v>45000</v>
      </c>
      <c r="G142" s="94">
        <f>SUM(G139:G141)</f>
        <v>535000</v>
      </c>
      <c r="H142" s="94">
        <f>SUM(H139:H141)</f>
        <v>0</v>
      </c>
      <c r="I142" s="94">
        <f>SUM(I139:I141)</f>
        <v>1800000</v>
      </c>
      <c r="J142" s="318">
        <f>E142+K142+L142+M142</f>
        <v>2380000</v>
      </c>
      <c r="K142" s="113"/>
      <c r="L142" s="94"/>
      <c r="M142" s="94"/>
      <c r="N142" s="94">
        <v>0</v>
      </c>
    </row>
    <row r="143" spans="1:14" ht="63.75" customHeight="1">
      <c r="A143" s="387" t="s">
        <v>294</v>
      </c>
      <c r="B143" s="50" t="s">
        <v>283</v>
      </c>
      <c r="C143" s="51" t="s">
        <v>170</v>
      </c>
      <c r="D143" s="389">
        <v>2008</v>
      </c>
      <c r="E143" s="61">
        <f t="shared" si="11"/>
        <v>40000</v>
      </c>
      <c r="F143" s="54"/>
      <c r="G143" s="54">
        <v>40000</v>
      </c>
      <c r="H143" s="54"/>
      <c r="I143" s="55"/>
      <c r="J143" s="56">
        <f t="shared" si="8"/>
        <v>40000</v>
      </c>
      <c r="K143" s="57"/>
      <c r="L143" s="54"/>
      <c r="M143" s="54"/>
      <c r="N143" s="54"/>
    </row>
    <row r="144" spans="1:16" ht="25.5" customHeight="1">
      <c r="A144" s="349" t="s">
        <v>295</v>
      </c>
      <c r="B144" s="39" t="s">
        <v>29</v>
      </c>
      <c r="C144" s="23" t="s">
        <v>168</v>
      </c>
      <c r="D144" s="388" t="s">
        <v>578</v>
      </c>
      <c r="E144" s="25">
        <f t="shared" si="11"/>
        <v>38000</v>
      </c>
      <c r="F144" s="69"/>
      <c r="G144" s="69">
        <v>38000</v>
      </c>
      <c r="H144" s="69"/>
      <c r="I144" s="70"/>
      <c r="J144" s="56">
        <f t="shared" si="8"/>
        <v>38000</v>
      </c>
      <c r="K144" s="71"/>
      <c r="L144" s="69"/>
      <c r="M144" s="69"/>
      <c r="N144" s="69">
        <v>38</v>
      </c>
      <c r="O144" s="163"/>
      <c r="P144" s="304"/>
    </row>
    <row r="145" spans="1:16" ht="65.25" customHeight="1">
      <c r="A145" s="349" t="s">
        <v>297</v>
      </c>
      <c r="B145" s="39" t="s">
        <v>29</v>
      </c>
      <c r="C145" s="23" t="s">
        <v>81</v>
      </c>
      <c r="D145" s="388">
        <v>2008</v>
      </c>
      <c r="E145" s="25">
        <f t="shared" si="11"/>
        <v>230000</v>
      </c>
      <c r="F145" s="69">
        <v>15000</v>
      </c>
      <c r="G145" s="69">
        <v>85000</v>
      </c>
      <c r="H145" s="69">
        <v>130000</v>
      </c>
      <c r="I145" s="70"/>
      <c r="J145" s="27">
        <f t="shared" si="8"/>
        <v>230000</v>
      </c>
      <c r="K145" s="71"/>
      <c r="L145" s="69"/>
      <c r="M145" s="69"/>
      <c r="N145" s="69"/>
      <c r="O145" s="163"/>
      <c r="P145" s="304"/>
    </row>
    <row r="146" spans="1:16" ht="51" customHeight="1">
      <c r="A146" s="349" t="s">
        <v>415</v>
      </c>
      <c r="B146" s="39" t="s">
        <v>29</v>
      </c>
      <c r="C146" s="411" t="s">
        <v>175</v>
      </c>
      <c r="D146" s="388">
        <v>2008</v>
      </c>
      <c r="E146" s="25">
        <f>SUM(F146:I146)</f>
        <v>50000</v>
      </c>
      <c r="F146" s="69"/>
      <c r="G146" s="69">
        <v>50000</v>
      </c>
      <c r="H146" s="69"/>
      <c r="I146" s="70"/>
      <c r="J146" s="27">
        <f>E146+K146+L146+M146</f>
        <v>50000</v>
      </c>
      <c r="K146" s="71"/>
      <c r="L146" s="69"/>
      <c r="M146" s="69"/>
      <c r="N146" s="69"/>
      <c r="O146" s="184"/>
      <c r="P146" s="304"/>
    </row>
    <row r="147" spans="1:16" ht="16.5" customHeight="1">
      <c r="A147" s="349" t="s">
        <v>517</v>
      </c>
      <c r="B147" s="39" t="s">
        <v>29</v>
      </c>
      <c r="C147" s="412" t="s">
        <v>350</v>
      </c>
      <c r="D147" s="388">
        <v>2008</v>
      </c>
      <c r="E147" s="25">
        <f>SUM(F147:I147)</f>
        <v>30000</v>
      </c>
      <c r="F147" s="69"/>
      <c r="G147" s="69">
        <v>30000</v>
      </c>
      <c r="H147" s="69"/>
      <c r="I147" s="70"/>
      <c r="J147" s="27">
        <f>E147+K147+L147+M147</f>
        <v>30000</v>
      </c>
      <c r="K147" s="71"/>
      <c r="L147" s="69"/>
      <c r="M147" s="69"/>
      <c r="N147" s="69"/>
      <c r="O147" s="184"/>
      <c r="P147" s="304"/>
    </row>
    <row r="148" spans="1:16" ht="16.5" customHeight="1">
      <c r="A148" s="349" t="s">
        <v>541</v>
      </c>
      <c r="B148" s="39" t="s">
        <v>29</v>
      </c>
      <c r="C148" s="411" t="s">
        <v>174</v>
      </c>
      <c r="D148" s="388">
        <v>2008</v>
      </c>
      <c r="E148" s="25">
        <f>SUM(F148:I148)</f>
        <v>700000</v>
      </c>
      <c r="F148" s="69"/>
      <c r="G148" s="69">
        <v>700000</v>
      </c>
      <c r="H148" s="69"/>
      <c r="I148" s="70"/>
      <c r="J148" s="27">
        <f>E148+K148+L148+M148</f>
        <v>700000</v>
      </c>
      <c r="K148" s="71"/>
      <c r="L148" s="69"/>
      <c r="M148" s="69"/>
      <c r="N148" s="69"/>
      <c r="O148" s="184"/>
      <c r="P148" s="304"/>
    </row>
    <row r="149" spans="1:16" ht="67.5" customHeight="1">
      <c r="A149" s="349" t="s">
        <v>102</v>
      </c>
      <c r="B149" s="39" t="s">
        <v>29</v>
      </c>
      <c r="C149" s="23" t="s">
        <v>171</v>
      </c>
      <c r="D149" s="388">
        <v>2008</v>
      </c>
      <c r="E149" s="25">
        <f t="shared" si="11"/>
        <v>320000</v>
      </c>
      <c r="F149" s="69">
        <v>24000</v>
      </c>
      <c r="G149" s="69">
        <v>106000</v>
      </c>
      <c r="H149" s="69">
        <v>190000</v>
      </c>
      <c r="I149" s="70"/>
      <c r="J149" s="27">
        <f t="shared" si="8"/>
        <v>320000</v>
      </c>
      <c r="K149" s="71"/>
      <c r="L149" s="69"/>
      <c r="M149" s="69"/>
      <c r="N149" s="69"/>
      <c r="O149" s="184"/>
      <c r="P149" s="304"/>
    </row>
    <row r="150" spans="1:15" ht="29.25" customHeight="1">
      <c r="A150" s="173"/>
      <c r="B150" s="339" t="s">
        <v>446</v>
      </c>
      <c r="C150" s="173" t="s">
        <v>225</v>
      </c>
      <c r="D150" s="390"/>
      <c r="E150" s="357">
        <f>SUM(F150:I150)</f>
        <v>6281587</v>
      </c>
      <c r="F150" s="358">
        <f>F154</f>
        <v>0</v>
      </c>
      <c r="G150" s="358">
        <f>G154</f>
        <v>5391728</v>
      </c>
      <c r="H150" s="358">
        <f>H154</f>
        <v>0</v>
      </c>
      <c r="I150" s="358">
        <f>I154</f>
        <v>889859</v>
      </c>
      <c r="J150" s="20">
        <f t="shared" si="8"/>
        <v>7063321</v>
      </c>
      <c r="K150" s="358">
        <f>K154</f>
        <v>0</v>
      </c>
      <c r="L150" s="358">
        <f>L154</f>
        <v>0</v>
      </c>
      <c r="M150" s="358">
        <f>M154</f>
        <v>781734</v>
      </c>
      <c r="N150" s="358">
        <f>N154</f>
        <v>6045</v>
      </c>
      <c r="O150" s="327"/>
    </row>
    <row r="151" spans="1:20" s="337" customFormat="1" ht="15" customHeight="1">
      <c r="A151" s="470" t="s">
        <v>278</v>
      </c>
      <c r="B151" s="39" t="s">
        <v>141</v>
      </c>
      <c r="C151" s="425" t="s">
        <v>326</v>
      </c>
      <c r="D151" s="485" t="s">
        <v>121</v>
      </c>
      <c r="E151" s="26">
        <f>SUM(F151:I151)</f>
        <v>0</v>
      </c>
      <c r="F151" s="26"/>
      <c r="G151" s="26">
        <v>0</v>
      </c>
      <c r="H151" s="26"/>
      <c r="I151" s="28"/>
      <c r="J151" s="27">
        <f>E151+K151+L151+M151</f>
        <v>0</v>
      </c>
      <c r="K151" s="71"/>
      <c r="L151" s="26"/>
      <c r="M151" s="26">
        <v>0</v>
      </c>
      <c r="N151" s="97">
        <v>6045</v>
      </c>
      <c r="P151" s="164"/>
      <c r="Q151" s="164"/>
      <c r="R151" s="338"/>
      <c r="S151" s="338"/>
      <c r="T151" s="338"/>
    </row>
    <row r="152" spans="1:15" ht="17.25" customHeight="1">
      <c r="A152" s="503"/>
      <c r="B152" s="140" t="s">
        <v>424</v>
      </c>
      <c r="C152" s="504"/>
      <c r="D152" s="503"/>
      <c r="E152" s="26">
        <f>SUM(F152:I152)</f>
        <v>0</v>
      </c>
      <c r="F152" s="32"/>
      <c r="G152" s="32"/>
      <c r="H152" s="32"/>
      <c r="I152" s="73"/>
      <c r="J152" s="27">
        <f>E152+K152+L152+M152</f>
        <v>781734</v>
      </c>
      <c r="K152" s="66"/>
      <c r="L152" s="32"/>
      <c r="M152" s="32">
        <v>781734</v>
      </c>
      <c r="N152" s="100"/>
      <c r="O152" s="327"/>
    </row>
    <row r="153" spans="1:15" ht="15.75" customHeight="1">
      <c r="A153" s="503"/>
      <c r="B153" s="140" t="s">
        <v>140</v>
      </c>
      <c r="C153" s="504"/>
      <c r="D153" s="503"/>
      <c r="E153" s="26">
        <f>SUM(F153:I153)</f>
        <v>6281587</v>
      </c>
      <c r="F153" s="32"/>
      <c r="G153" s="32">
        <v>5391728</v>
      </c>
      <c r="H153" s="32"/>
      <c r="I153" s="73">
        <v>889859</v>
      </c>
      <c r="J153" s="27">
        <f>E153+K153+L153+M153</f>
        <v>6281587</v>
      </c>
      <c r="K153" s="66"/>
      <c r="L153" s="32"/>
      <c r="M153" s="32"/>
      <c r="N153" s="100"/>
      <c r="O153" s="327"/>
    </row>
    <row r="154" spans="1:15" ht="18.75" customHeight="1">
      <c r="A154" s="463"/>
      <c r="B154" s="34" t="s">
        <v>101</v>
      </c>
      <c r="C154" s="505"/>
      <c r="D154" s="463"/>
      <c r="E154" s="75">
        <f>SUM(E151:E153)</f>
        <v>6281587</v>
      </c>
      <c r="F154" s="75">
        <f>SUM(F151:F153)</f>
        <v>0</v>
      </c>
      <c r="G154" s="75">
        <f>SUM(G151:G153)</f>
        <v>5391728</v>
      </c>
      <c r="H154" s="75">
        <f>SUM(H151:H153)</f>
        <v>0</v>
      </c>
      <c r="I154" s="75">
        <f>SUM(I151:I153)</f>
        <v>889859</v>
      </c>
      <c r="J154" s="20">
        <f>E154+K154+L154+M154</f>
        <v>7063321</v>
      </c>
      <c r="K154" s="62">
        <f>SUM(K151:K153)</f>
        <v>0</v>
      </c>
      <c r="L154" s="62">
        <f>SUM(L151:L153)</f>
        <v>0</v>
      </c>
      <c r="M154" s="62">
        <f>SUM(M151:M153)</f>
        <v>781734</v>
      </c>
      <c r="N154" s="62">
        <f>SUM(N151:N153)</f>
        <v>6045</v>
      </c>
      <c r="O154" s="327"/>
    </row>
    <row r="155" spans="1:15" ht="24.75" customHeight="1">
      <c r="A155" s="33"/>
      <c r="B155" s="34" t="s">
        <v>599</v>
      </c>
      <c r="C155" s="33" t="s">
        <v>94</v>
      </c>
      <c r="D155" s="82"/>
      <c r="E155" s="75">
        <f aca="true" t="shared" si="12" ref="E155:E163">SUM(F155:I155)</f>
        <v>1269000</v>
      </c>
      <c r="F155" s="35">
        <f>SUM(F156:F159)</f>
        <v>0</v>
      </c>
      <c r="G155" s="35">
        <f>SUM(G156:G159)</f>
        <v>1269000</v>
      </c>
      <c r="H155" s="35">
        <f>SUM(H156:H159)</f>
        <v>0</v>
      </c>
      <c r="I155" s="35">
        <f>SUM(I156:I159)</f>
        <v>0</v>
      </c>
      <c r="J155" s="36">
        <f t="shared" si="8"/>
        <v>1269000</v>
      </c>
      <c r="K155" s="35">
        <f>SUM(K156)</f>
        <v>0</v>
      </c>
      <c r="L155" s="35">
        <f>SUM(L156)</f>
        <v>0</v>
      </c>
      <c r="M155" s="35">
        <f>SUM(M156)</f>
        <v>0</v>
      </c>
      <c r="N155" s="35">
        <f>SUM(N156)</f>
        <v>4400</v>
      </c>
      <c r="O155" s="327"/>
    </row>
    <row r="156" spans="1:15" ht="17.25" customHeight="1">
      <c r="A156" s="72" t="s">
        <v>278</v>
      </c>
      <c r="B156" s="140" t="s">
        <v>283</v>
      </c>
      <c r="C156" s="30" t="s">
        <v>2</v>
      </c>
      <c r="D156" s="60" t="s">
        <v>575</v>
      </c>
      <c r="E156" s="62">
        <f t="shared" si="12"/>
        <v>1000000</v>
      </c>
      <c r="F156" s="32">
        <v>0</v>
      </c>
      <c r="G156" s="32">
        <v>1000000</v>
      </c>
      <c r="H156" s="32"/>
      <c r="I156" s="73"/>
      <c r="J156" s="65">
        <f t="shared" si="8"/>
        <v>1000000</v>
      </c>
      <c r="K156" s="66"/>
      <c r="L156" s="32"/>
      <c r="M156" s="32">
        <v>0</v>
      </c>
      <c r="N156" s="100">
        <v>4400</v>
      </c>
      <c r="O156" s="327"/>
    </row>
    <row r="157" spans="1:14" ht="20.25" customHeight="1">
      <c r="A157" s="72" t="s">
        <v>280</v>
      </c>
      <c r="B157" s="140" t="s">
        <v>283</v>
      </c>
      <c r="C157" s="30" t="s">
        <v>352</v>
      </c>
      <c r="D157" s="60">
        <v>2008</v>
      </c>
      <c r="E157" s="25">
        <f t="shared" si="12"/>
        <v>30000</v>
      </c>
      <c r="F157" s="69"/>
      <c r="G157" s="69">
        <v>30000</v>
      </c>
      <c r="H157" s="69"/>
      <c r="I157" s="70"/>
      <c r="J157" s="27">
        <f t="shared" si="8"/>
        <v>30000</v>
      </c>
      <c r="K157" s="71"/>
      <c r="L157" s="69"/>
      <c r="M157" s="69"/>
      <c r="N157" s="69"/>
    </row>
    <row r="158" spans="1:14" ht="20.25" customHeight="1">
      <c r="A158" s="72" t="s">
        <v>282</v>
      </c>
      <c r="B158" s="140" t="s">
        <v>283</v>
      </c>
      <c r="C158" s="30" t="s">
        <v>0</v>
      </c>
      <c r="D158" s="60">
        <v>2008</v>
      </c>
      <c r="E158" s="25">
        <f t="shared" si="12"/>
        <v>9000</v>
      </c>
      <c r="F158" s="69"/>
      <c r="G158" s="69">
        <v>9000</v>
      </c>
      <c r="H158" s="69"/>
      <c r="I158" s="70"/>
      <c r="J158" s="27">
        <f t="shared" si="8"/>
        <v>9000</v>
      </c>
      <c r="K158" s="71"/>
      <c r="L158" s="69"/>
      <c r="M158" s="69"/>
      <c r="N158" s="69"/>
    </row>
    <row r="159" spans="1:14" ht="18.75" customHeight="1">
      <c r="A159" s="72" t="s">
        <v>284</v>
      </c>
      <c r="B159" s="140" t="s">
        <v>283</v>
      </c>
      <c r="C159" s="30" t="s">
        <v>351</v>
      </c>
      <c r="D159" s="60">
        <v>2008</v>
      </c>
      <c r="E159" s="25">
        <f t="shared" si="12"/>
        <v>230000</v>
      </c>
      <c r="F159" s="69"/>
      <c r="G159" s="69">
        <v>230000</v>
      </c>
      <c r="H159" s="69"/>
      <c r="I159" s="70"/>
      <c r="J159" s="27">
        <f t="shared" si="8"/>
        <v>230000</v>
      </c>
      <c r="K159" s="71"/>
      <c r="L159" s="69"/>
      <c r="M159" s="69"/>
      <c r="N159" s="69"/>
    </row>
    <row r="160" spans="1:14" ht="24" customHeight="1">
      <c r="A160" s="37"/>
      <c r="B160" s="3" t="s">
        <v>345</v>
      </c>
      <c r="C160" s="6" t="s">
        <v>346</v>
      </c>
      <c r="D160" s="76"/>
      <c r="E160" s="38">
        <f t="shared" si="12"/>
        <v>500000</v>
      </c>
      <c r="F160" s="19">
        <f>SUM(F161:F162)</f>
        <v>0</v>
      </c>
      <c r="G160" s="19">
        <f>SUM(G161:G162)</f>
        <v>500000</v>
      </c>
      <c r="H160" s="19">
        <f>SUM(H161:H162)</f>
        <v>0</v>
      </c>
      <c r="I160" s="19">
        <f>SUM(I161:I162)</f>
        <v>0</v>
      </c>
      <c r="J160" s="20">
        <f t="shared" si="8"/>
        <v>500000</v>
      </c>
      <c r="K160" s="19">
        <f>SUM(K161:K162)</f>
        <v>0</v>
      </c>
      <c r="L160" s="19">
        <f>SUM(L161:L162)</f>
        <v>0</v>
      </c>
      <c r="M160" s="19">
        <f>SUM(M161:M162)</f>
        <v>0</v>
      </c>
      <c r="N160" s="19">
        <f>SUM(N161:N162)</f>
        <v>0</v>
      </c>
    </row>
    <row r="161" spans="1:14" ht="18" customHeight="1">
      <c r="A161" s="37" t="s">
        <v>278</v>
      </c>
      <c r="B161" s="22" t="s">
        <v>329</v>
      </c>
      <c r="C161" s="331" t="s">
        <v>557</v>
      </c>
      <c r="D161" s="60">
        <v>2008</v>
      </c>
      <c r="E161" s="25">
        <f t="shared" si="12"/>
        <v>200000</v>
      </c>
      <c r="F161" s="100"/>
      <c r="G161" s="100">
        <v>200000</v>
      </c>
      <c r="H161" s="100"/>
      <c r="I161" s="101"/>
      <c r="J161" s="27">
        <f>E161+K161+L161+M161</f>
        <v>200000</v>
      </c>
      <c r="K161" s="102"/>
      <c r="L161" s="142"/>
      <c r="M161" s="142"/>
      <c r="N161" s="97"/>
    </row>
    <row r="162" spans="1:14" ht="27" customHeight="1">
      <c r="A162" s="37" t="s">
        <v>280</v>
      </c>
      <c r="B162" s="22" t="s">
        <v>283</v>
      </c>
      <c r="C162" s="410" t="s">
        <v>236</v>
      </c>
      <c r="D162" s="60">
        <v>2008</v>
      </c>
      <c r="E162" s="25">
        <f t="shared" si="12"/>
        <v>300000</v>
      </c>
      <c r="F162" s="97"/>
      <c r="G162" s="97">
        <v>300000</v>
      </c>
      <c r="H162" s="97"/>
      <c r="I162" s="98"/>
      <c r="J162" s="27">
        <f>E162+K162+L162+M162</f>
        <v>300000</v>
      </c>
      <c r="K162" s="99"/>
      <c r="L162" s="295"/>
      <c r="M162" s="295"/>
      <c r="N162" s="131"/>
    </row>
    <row r="163" spans="1:14" ht="33" customHeight="1" thickBot="1">
      <c r="A163" s="104" t="s">
        <v>361</v>
      </c>
      <c r="B163" s="105" t="s">
        <v>362</v>
      </c>
      <c r="C163" s="106" t="s">
        <v>363</v>
      </c>
      <c r="D163" s="107"/>
      <c r="E163" s="108">
        <f t="shared" si="12"/>
        <v>11227654</v>
      </c>
      <c r="F163" s="109">
        <f>SUM(F164:F173)</f>
        <v>0</v>
      </c>
      <c r="G163" s="109">
        <f>SUM(G164:G173)</f>
        <v>6386853</v>
      </c>
      <c r="H163" s="109">
        <f>SUM(H164:H173)</f>
        <v>200000</v>
      </c>
      <c r="I163" s="109">
        <f>SUM(I164:I173)</f>
        <v>4640801</v>
      </c>
      <c r="J163" s="110">
        <f>E163+K163+L163+M163</f>
        <v>11227654</v>
      </c>
      <c r="K163" s="342">
        <f>SUM(K164:K172)</f>
        <v>0</v>
      </c>
      <c r="L163" s="109">
        <f>SUM(L164:L172)</f>
        <v>0</v>
      </c>
      <c r="M163" s="109">
        <f>SUM(M164:M172)</f>
        <v>0</v>
      </c>
      <c r="N163" s="109">
        <f>SUM(N164:N173)</f>
        <v>2050</v>
      </c>
    </row>
    <row r="164" spans="1:20" ht="19.5" customHeight="1">
      <c r="A164" s="319"/>
      <c r="B164" s="95" t="str">
        <f>RIGHT(B174,5)</f>
        <v>60015</v>
      </c>
      <c r="C164" s="23" t="s">
        <v>364</v>
      </c>
      <c r="D164" s="68"/>
      <c r="E164" s="25">
        <f aca="true" t="shared" si="13" ref="E164:E173">SUM(F164:I164)</f>
        <v>6503801</v>
      </c>
      <c r="F164" s="26">
        <f>F174</f>
        <v>0</v>
      </c>
      <c r="G164" s="26">
        <f>G174</f>
        <v>3643000</v>
      </c>
      <c r="H164" s="26">
        <f>H174</f>
        <v>0</v>
      </c>
      <c r="I164" s="28">
        <f>I174</f>
        <v>2860801</v>
      </c>
      <c r="J164" s="27">
        <f t="shared" si="8"/>
        <v>6503801</v>
      </c>
      <c r="K164" s="295">
        <f>K174</f>
        <v>0</v>
      </c>
      <c r="L164" s="26">
        <f>L174</f>
        <v>0</v>
      </c>
      <c r="M164" s="26">
        <f>M174</f>
        <v>0</v>
      </c>
      <c r="N164" s="26">
        <f>N174</f>
        <v>1000</v>
      </c>
      <c r="P164" s="139"/>
      <c r="Q164" s="139"/>
      <c r="R164" s="119"/>
      <c r="S164" s="119"/>
      <c r="T164" s="119"/>
    </row>
    <row r="165" spans="1:20" ht="19.5" customHeight="1">
      <c r="A165" s="319"/>
      <c r="B165" s="95">
        <v>71015</v>
      </c>
      <c r="C165" s="23" t="s">
        <v>457</v>
      </c>
      <c r="D165" s="68"/>
      <c r="E165" s="25">
        <f t="shared" si="13"/>
        <v>4000</v>
      </c>
      <c r="F165" s="28">
        <f>F187</f>
        <v>0</v>
      </c>
      <c r="G165" s="28">
        <f>G187</f>
        <v>0</v>
      </c>
      <c r="H165" s="28">
        <f>H187</f>
        <v>0</v>
      </c>
      <c r="I165" s="28">
        <f>I187</f>
        <v>4000</v>
      </c>
      <c r="J165" s="27">
        <f t="shared" si="8"/>
        <v>4000</v>
      </c>
      <c r="K165" s="28">
        <f>K187</f>
        <v>0</v>
      </c>
      <c r="L165" s="28">
        <f>L187</f>
        <v>0</v>
      </c>
      <c r="M165" s="28">
        <f>M187</f>
        <v>0</v>
      </c>
      <c r="N165" s="28">
        <f>N187</f>
        <v>0</v>
      </c>
      <c r="P165" s="139"/>
      <c r="Q165" s="139"/>
      <c r="R165" s="119"/>
      <c r="S165" s="119"/>
      <c r="T165" s="119"/>
    </row>
    <row r="166" spans="1:20" ht="16.5" customHeight="1">
      <c r="A166" s="319"/>
      <c r="B166" s="95">
        <v>75411</v>
      </c>
      <c r="C166" s="23" t="s">
        <v>458</v>
      </c>
      <c r="D166" s="68"/>
      <c r="E166" s="25">
        <f t="shared" si="13"/>
        <v>26000</v>
      </c>
      <c r="F166" s="28">
        <f>F189</f>
        <v>0</v>
      </c>
      <c r="G166" s="28">
        <f>G189</f>
        <v>0</v>
      </c>
      <c r="H166" s="28">
        <f>H189</f>
        <v>0</v>
      </c>
      <c r="I166" s="28">
        <f>I189</f>
        <v>26000</v>
      </c>
      <c r="J166" s="27">
        <f t="shared" si="8"/>
        <v>26000</v>
      </c>
      <c r="K166" s="28">
        <f>K189</f>
        <v>0</v>
      </c>
      <c r="L166" s="28">
        <f>L189</f>
        <v>0</v>
      </c>
      <c r="M166" s="28">
        <f>M189</f>
        <v>0</v>
      </c>
      <c r="N166" s="28">
        <f>N189</f>
        <v>0</v>
      </c>
      <c r="P166" s="139"/>
      <c r="Q166" s="139"/>
      <c r="R166" s="119"/>
      <c r="S166" s="119"/>
      <c r="T166" s="119"/>
    </row>
    <row r="167" spans="1:14" ht="16.5" customHeight="1">
      <c r="A167" s="320"/>
      <c r="B167" s="22">
        <v>80120</v>
      </c>
      <c r="C167" s="23" t="s">
        <v>527</v>
      </c>
      <c r="D167" s="68"/>
      <c r="E167" s="25">
        <f t="shared" si="13"/>
        <v>350000</v>
      </c>
      <c r="F167" s="28">
        <f>F191</f>
        <v>0</v>
      </c>
      <c r="G167" s="28">
        <f>G191</f>
        <v>150000</v>
      </c>
      <c r="H167" s="28">
        <f>H191</f>
        <v>200000</v>
      </c>
      <c r="I167" s="28">
        <f>I191</f>
        <v>0</v>
      </c>
      <c r="J167" s="65">
        <f t="shared" si="8"/>
        <v>350000</v>
      </c>
      <c r="K167" s="340">
        <f>K191</f>
        <v>0</v>
      </c>
      <c r="L167" s="28">
        <f>L191</f>
        <v>0</v>
      </c>
      <c r="M167" s="28">
        <f>M191</f>
        <v>0</v>
      </c>
      <c r="N167" s="28">
        <f>N191</f>
        <v>0</v>
      </c>
    </row>
    <row r="168" spans="1:14" ht="19.5" customHeight="1">
      <c r="A168" s="320"/>
      <c r="B168" s="22" t="str">
        <f>RIGHT(B193,5)</f>
        <v>80130</v>
      </c>
      <c r="C168" s="23" t="s">
        <v>365</v>
      </c>
      <c r="D168" s="68"/>
      <c r="E168" s="25">
        <f t="shared" si="13"/>
        <v>2530000</v>
      </c>
      <c r="F168" s="28">
        <f>F193</f>
        <v>0</v>
      </c>
      <c r="G168" s="28">
        <f>G193</f>
        <v>1030000</v>
      </c>
      <c r="H168" s="28">
        <f>H193</f>
        <v>0</v>
      </c>
      <c r="I168" s="28">
        <f>I193</f>
        <v>1500000</v>
      </c>
      <c r="J168" s="65">
        <f t="shared" si="8"/>
        <v>2530000</v>
      </c>
      <c r="K168" s="28">
        <f>K193</f>
        <v>0</v>
      </c>
      <c r="L168" s="28">
        <f>L193</f>
        <v>0</v>
      </c>
      <c r="M168" s="28">
        <f>M193</f>
        <v>0</v>
      </c>
      <c r="N168" s="28">
        <f>N193</f>
        <v>0</v>
      </c>
    </row>
    <row r="169" spans="1:14" ht="17.25" customHeight="1">
      <c r="A169" s="320"/>
      <c r="B169" s="22">
        <v>80195</v>
      </c>
      <c r="C169" s="23" t="s">
        <v>355</v>
      </c>
      <c r="D169" s="68"/>
      <c r="E169" s="25">
        <f t="shared" si="13"/>
        <v>6000</v>
      </c>
      <c r="F169" s="28">
        <f>F199</f>
        <v>0</v>
      </c>
      <c r="G169" s="28">
        <f>G199</f>
        <v>6000</v>
      </c>
      <c r="H169" s="28">
        <f>H199</f>
        <v>0</v>
      </c>
      <c r="I169" s="28">
        <f>I199</f>
        <v>0</v>
      </c>
      <c r="J169" s="65">
        <f t="shared" si="8"/>
        <v>6000</v>
      </c>
      <c r="K169" s="28">
        <f>K199</f>
        <v>0</v>
      </c>
      <c r="L169" s="28">
        <f>L199</f>
        <v>0</v>
      </c>
      <c r="M169" s="28">
        <f>M199</f>
        <v>0</v>
      </c>
      <c r="N169" s="28">
        <f>N199</f>
        <v>0</v>
      </c>
    </row>
    <row r="170" spans="1:14" ht="16.5" customHeight="1">
      <c r="A170" s="320"/>
      <c r="B170" s="22">
        <v>85111</v>
      </c>
      <c r="C170" s="23" t="s">
        <v>201</v>
      </c>
      <c r="D170" s="68"/>
      <c r="E170" s="25">
        <f t="shared" si="13"/>
        <v>200000</v>
      </c>
      <c r="F170" s="28">
        <f>F201</f>
        <v>0</v>
      </c>
      <c r="G170" s="28">
        <f>G201</f>
        <v>200000</v>
      </c>
      <c r="H170" s="28">
        <f>H201</f>
        <v>0</v>
      </c>
      <c r="I170" s="28">
        <f>I201</f>
        <v>0</v>
      </c>
      <c r="J170" s="65">
        <f t="shared" si="8"/>
        <v>200000</v>
      </c>
      <c r="K170" s="28">
        <f>K201</f>
        <v>0</v>
      </c>
      <c r="L170" s="28">
        <f>L201</f>
        <v>0</v>
      </c>
      <c r="M170" s="28">
        <f>M201</f>
        <v>0</v>
      </c>
      <c r="N170" s="28">
        <f>N201</f>
        <v>0</v>
      </c>
    </row>
    <row r="171" spans="1:14" ht="19.5" customHeight="1">
      <c r="A171" s="320"/>
      <c r="B171" s="22" t="str">
        <f>RIGHT(B203,5)</f>
        <v>85201</v>
      </c>
      <c r="C171" s="23" t="s">
        <v>4</v>
      </c>
      <c r="D171" s="68"/>
      <c r="E171" s="25">
        <f t="shared" si="13"/>
        <v>9853</v>
      </c>
      <c r="F171" s="28">
        <f>F203</f>
        <v>0</v>
      </c>
      <c r="G171" s="28">
        <f>G203</f>
        <v>9853</v>
      </c>
      <c r="H171" s="28">
        <f>H203</f>
        <v>0</v>
      </c>
      <c r="I171" s="28">
        <f>I203</f>
        <v>0</v>
      </c>
      <c r="J171" s="65">
        <f t="shared" si="8"/>
        <v>9853</v>
      </c>
      <c r="K171" s="340">
        <f>K203</f>
        <v>0</v>
      </c>
      <c r="L171" s="28">
        <f>L203</f>
        <v>0</v>
      </c>
      <c r="M171" s="28">
        <f>M203</f>
        <v>0</v>
      </c>
      <c r="N171" s="28">
        <f>N203</f>
        <v>0</v>
      </c>
    </row>
    <row r="172" spans="1:14" ht="19.5" customHeight="1">
      <c r="A172" s="319"/>
      <c r="B172" s="95" t="str">
        <f>RIGHT(B210,5)</f>
        <v>92195</v>
      </c>
      <c r="C172" s="30" t="s">
        <v>482</v>
      </c>
      <c r="D172" s="60"/>
      <c r="E172" s="25">
        <f t="shared" si="13"/>
        <v>520000</v>
      </c>
      <c r="F172" s="73">
        <f>F210</f>
        <v>0</v>
      </c>
      <c r="G172" s="73">
        <f>G210</f>
        <v>270000</v>
      </c>
      <c r="H172" s="73">
        <f>H210</f>
        <v>0</v>
      </c>
      <c r="I172" s="73">
        <f>I210</f>
        <v>250000</v>
      </c>
      <c r="J172" s="65">
        <f aca="true" t="shared" si="14" ref="J172:J188">E172+K172+L172+M172</f>
        <v>520000</v>
      </c>
      <c r="K172" s="73">
        <f>K210</f>
        <v>0</v>
      </c>
      <c r="L172" s="73">
        <f>L210</f>
        <v>0</v>
      </c>
      <c r="M172" s="73">
        <f>M210</f>
        <v>0</v>
      </c>
      <c r="N172" s="32">
        <f>N210</f>
        <v>250</v>
      </c>
    </row>
    <row r="173" spans="1:20" ht="17.25" customHeight="1">
      <c r="A173" s="319"/>
      <c r="B173" s="95">
        <v>92116</v>
      </c>
      <c r="C173" s="30" t="s">
        <v>411</v>
      </c>
      <c r="D173" s="60"/>
      <c r="E173" s="25">
        <f t="shared" si="13"/>
        <v>1078000</v>
      </c>
      <c r="F173" s="73">
        <f>F206</f>
        <v>0</v>
      </c>
      <c r="G173" s="73">
        <f>G206</f>
        <v>1078000</v>
      </c>
      <c r="H173" s="73">
        <f>H206</f>
        <v>0</v>
      </c>
      <c r="I173" s="73">
        <f>I206</f>
        <v>0</v>
      </c>
      <c r="J173" s="65">
        <f t="shared" si="14"/>
        <v>1078000</v>
      </c>
      <c r="K173" s="73">
        <f>K206</f>
        <v>0</v>
      </c>
      <c r="L173" s="73">
        <f>L206</f>
        <v>0</v>
      </c>
      <c r="M173" s="73">
        <f>M206</f>
        <v>0</v>
      </c>
      <c r="N173" s="32">
        <f>N206</f>
        <v>800</v>
      </c>
      <c r="P173" s="139"/>
      <c r="Q173" s="139"/>
      <c r="R173" s="119"/>
      <c r="S173" s="119"/>
      <c r="T173" s="119"/>
    </row>
    <row r="174" spans="1:14" ht="26.25" customHeight="1">
      <c r="A174" s="6"/>
      <c r="B174" s="3" t="s">
        <v>368</v>
      </c>
      <c r="C174" s="6" t="s">
        <v>369</v>
      </c>
      <c r="D174" s="96"/>
      <c r="E174" s="38">
        <f>SUM(F174:I174)</f>
        <v>6503801</v>
      </c>
      <c r="F174" s="11">
        <f>F178+F179+F180+F181+F182+F183+F184+F185+F186</f>
        <v>0</v>
      </c>
      <c r="G174" s="11">
        <f>G178+G179+G180+G181+G182+G183+G184+G185+G186</f>
        <v>3643000</v>
      </c>
      <c r="H174" s="11">
        <f>H178+H179+H180+H181+H182+H183+H184+H185+H186</f>
        <v>0</v>
      </c>
      <c r="I174" s="11">
        <f>I178+I179+I180+I181+I182+I183+I184+I185+I186</f>
        <v>2860801</v>
      </c>
      <c r="J174" s="36">
        <f t="shared" si="14"/>
        <v>6503801</v>
      </c>
      <c r="K174" s="11">
        <f>K178+K179+K180+K181+K182+K183+K184+K185+K186</f>
        <v>0</v>
      </c>
      <c r="L174" s="11">
        <f>L178+L179+L180+L181+L182+L183+L184+L185+L186</f>
        <v>0</v>
      </c>
      <c r="M174" s="11">
        <f>M178+M179+M180+M181+M182+M183+M184+M185+M186</f>
        <v>0</v>
      </c>
      <c r="N174" s="11">
        <f>N178+N179+N180+N181+N182+N183+N184+N185+N186</f>
        <v>1000</v>
      </c>
    </row>
    <row r="175" spans="1:14" ht="11.25" customHeight="1">
      <c r="A175" s="434" t="s">
        <v>278</v>
      </c>
      <c r="B175" s="39" t="s">
        <v>319</v>
      </c>
      <c r="C175" s="425" t="s">
        <v>89</v>
      </c>
      <c r="D175" s="443" t="s">
        <v>534</v>
      </c>
      <c r="E175" s="25">
        <f>SUM(F175:I175)</f>
        <v>2860801</v>
      </c>
      <c r="F175" s="69"/>
      <c r="G175" s="69"/>
      <c r="H175" s="69"/>
      <c r="I175" s="70">
        <v>2860801</v>
      </c>
      <c r="J175" s="27">
        <f t="shared" si="14"/>
        <v>2860801</v>
      </c>
      <c r="K175" s="71"/>
      <c r="L175" s="26"/>
      <c r="M175" s="26"/>
      <c r="N175" s="97"/>
    </row>
    <row r="176" spans="1:14" ht="12.75" customHeight="1">
      <c r="A176" s="435"/>
      <c r="B176" s="39" t="s">
        <v>370</v>
      </c>
      <c r="C176" s="426"/>
      <c r="D176" s="444"/>
      <c r="E176" s="25">
        <f>SUM(F176:I176)</f>
        <v>1150000</v>
      </c>
      <c r="F176" s="69"/>
      <c r="G176" s="69">
        <v>1150000</v>
      </c>
      <c r="H176" s="69"/>
      <c r="I176" s="70"/>
      <c r="J176" s="27">
        <f t="shared" si="14"/>
        <v>1150000</v>
      </c>
      <c r="K176" s="71"/>
      <c r="L176" s="26"/>
      <c r="M176" s="26"/>
      <c r="N176" s="97"/>
    </row>
    <row r="177" spans="1:14" ht="13.5" customHeight="1">
      <c r="A177" s="435"/>
      <c r="B177" s="39" t="s">
        <v>579</v>
      </c>
      <c r="C177" s="426"/>
      <c r="D177" s="444"/>
      <c r="E177" s="25">
        <f>SUM(F177:I177)</f>
        <v>1000000</v>
      </c>
      <c r="F177" s="69"/>
      <c r="G177" s="69">
        <v>1000000</v>
      </c>
      <c r="H177" s="69"/>
      <c r="I177" s="70"/>
      <c r="J177" s="27">
        <f t="shared" si="14"/>
        <v>1000000</v>
      </c>
      <c r="K177" s="71"/>
      <c r="L177" s="26"/>
      <c r="M177" s="26"/>
      <c r="N177" s="97"/>
    </row>
    <row r="178" spans="1:14" ht="14.25" customHeight="1">
      <c r="A178" s="436"/>
      <c r="B178" s="3" t="s">
        <v>461</v>
      </c>
      <c r="C178" s="427"/>
      <c r="D178" s="445"/>
      <c r="E178" s="38">
        <f>SUM(E175:E177)</f>
        <v>5010801</v>
      </c>
      <c r="F178" s="11">
        <f>SUM(F175:F177)</f>
        <v>0</v>
      </c>
      <c r="G178" s="11">
        <f>SUM(G175:G177)</f>
        <v>2150000</v>
      </c>
      <c r="H178" s="11">
        <f>SUM(H175:H177)</f>
        <v>0</v>
      </c>
      <c r="I178" s="11">
        <f>SUM(I175:I177)</f>
        <v>2860801</v>
      </c>
      <c r="J178" s="20">
        <f t="shared" si="14"/>
        <v>5010801</v>
      </c>
      <c r="K178" s="11">
        <f>SUM(K175:K177)</f>
        <v>0</v>
      </c>
      <c r="L178" s="11">
        <f>SUM(L175:L177)</f>
        <v>0</v>
      </c>
      <c r="M178" s="11">
        <f>SUM(M175:M177)</f>
        <v>0</v>
      </c>
      <c r="N178" s="11">
        <v>1000</v>
      </c>
    </row>
    <row r="179" spans="1:14" ht="39.75" customHeight="1">
      <c r="A179" s="67" t="s">
        <v>280</v>
      </c>
      <c r="B179" s="39" t="s">
        <v>283</v>
      </c>
      <c r="C179" s="23" t="s">
        <v>90</v>
      </c>
      <c r="D179" s="68" t="s">
        <v>578</v>
      </c>
      <c r="E179" s="25">
        <f aca="true" t="shared" si="15" ref="E179:E211">SUM(F179:I179)</f>
        <v>1000000</v>
      </c>
      <c r="F179" s="69"/>
      <c r="G179" s="69">
        <v>1000000</v>
      </c>
      <c r="H179" s="69"/>
      <c r="I179" s="70"/>
      <c r="J179" s="27">
        <f t="shared" si="14"/>
        <v>1000000</v>
      </c>
      <c r="K179" s="71"/>
      <c r="L179" s="26"/>
      <c r="M179" s="26"/>
      <c r="N179" s="97"/>
    </row>
    <row r="180" spans="1:14" ht="25.5" customHeight="1">
      <c r="A180" s="67" t="s">
        <v>282</v>
      </c>
      <c r="B180" s="39" t="s">
        <v>329</v>
      </c>
      <c r="C180" s="23" t="s">
        <v>22</v>
      </c>
      <c r="D180" s="68">
        <v>2008</v>
      </c>
      <c r="E180" s="25">
        <f t="shared" si="15"/>
        <v>18000</v>
      </c>
      <c r="F180" s="97"/>
      <c r="G180" s="97">
        <v>18000</v>
      </c>
      <c r="H180" s="97"/>
      <c r="I180" s="98"/>
      <c r="J180" s="27">
        <f t="shared" si="14"/>
        <v>18000</v>
      </c>
      <c r="K180" s="99"/>
      <c r="L180" s="26"/>
      <c r="M180" s="26"/>
      <c r="N180" s="97"/>
    </row>
    <row r="181" spans="1:14" ht="21.75" customHeight="1">
      <c r="A181" s="67" t="s">
        <v>284</v>
      </c>
      <c r="B181" s="39" t="s">
        <v>329</v>
      </c>
      <c r="C181" s="23" t="s">
        <v>184</v>
      </c>
      <c r="D181" s="68">
        <v>2008</v>
      </c>
      <c r="E181" s="25">
        <f t="shared" si="15"/>
        <v>30000</v>
      </c>
      <c r="F181" s="97"/>
      <c r="G181" s="97">
        <v>30000</v>
      </c>
      <c r="H181" s="97"/>
      <c r="I181" s="98"/>
      <c r="J181" s="27">
        <f t="shared" si="14"/>
        <v>30000</v>
      </c>
      <c r="K181" s="99"/>
      <c r="L181" s="295"/>
      <c r="M181" s="295"/>
      <c r="N181" s="131"/>
    </row>
    <row r="182" spans="1:14" ht="25.5" customHeight="1">
      <c r="A182" s="67" t="s">
        <v>286</v>
      </c>
      <c r="B182" s="39" t="s">
        <v>29</v>
      </c>
      <c r="C182" s="23" t="s">
        <v>151</v>
      </c>
      <c r="D182" s="68">
        <v>2008</v>
      </c>
      <c r="E182" s="25">
        <f t="shared" si="15"/>
        <v>100000</v>
      </c>
      <c r="F182" s="97"/>
      <c r="G182" s="97">
        <v>100000</v>
      </c>
      <c r="H182" s="97"/>
      <c r="I182" s="98"/>
      <c r="J182" s="27">
        <f t="shared" si="14"/>
        <v>100000</v>
      </c>
      <c r="K182" s="99"/>
      <c r="L182" s="295"/>
      <c r="M182" s="295"/>
      <c r="N182" s="131"/>
    </row>
    <row r="183" spans="1:14" ht="20.25" customHeight="1">
      <c r="A183" s="67" t="s">
        <v>287</v>
      </c>
      <c r="B183" s="39" t="s">
        <v>29</v>
      </c>
      <c r="C183" s="23" t="s">
        <v>152</v>
      </c>
      <c r="D183" s="68">
        <v>2008</v>
      </c>
      <c r="E183" s="25">
        <f t="shared" si="15"/>
        <v>25000</v>
      </c>
      <c r="F183" s="97"/>
      <c r="G183" s="97">
        <v>25000</v>
      </c>
      <c r="H183" s="97"/>
      <c r="I183" s="98"/>
      <c r="J183" s="27">
        <f t="shared" si="14"/>
        <v>25000</v>
      </c>
      <c r="K183" s="99"/>
      <c r="L183" s="295"/>
      <c r="M183" s="295"/>
      <c r="N183" s="131"/>
    </row>
    <row r="184" spans="1:14" ht="26.25" customHeight="1">
      <c r="A184" s="67" t="s">
        <v>288</v>
      </c>
      <c r="B184" s="39" t="s">
        <v>29</v>
      </c>
      <c r="C184" s="23" t="s">
        <v>528</v>
      </c>
      <c r="D184" s="68">
        <v>2008</v>
      </c>
      <c r="E184" s="25">
        <f t="shared" si="15"/>
        <v>70000</v>
      </c>
      <c r="F184" s="97"/>
      <c r="G184" s="97">
        <v>70000</v>
      </c>
      <c r="H184" s="97"/>
      <c r="I184" s="98"/>
      <c r="J184" s="27">
        <f t="shared" si="14"/>
        <v>70000</v>
      </c>
      <c r="K184" s="99"/>
      <c r="L184" s="295"/>
      <c r="M184" s="295"/>
      <c r="N184" s="131"/>
    </row>
    <row r="185" spans="1:14" ht="16.5" customHeight="1">
      <c r="A185" s="67" t="s">
        <v>290</v>
      </c>
      <c r="B185" s="39" t="s">
        <v>29</v>
      </c>
      <c r="C185" s="23" t="s">
        <v>149</v>
      </c>
      <c r="D185" s="68">
        <v>2008</v>
      </c>
      <c r="E185" s="25">
        <f t="shared" si="15"/>
        <v>150000</v>
      </c>
      <c r="F185" s="97"/>
      <c r="G185" s="97">
        <v>150000</v>
      </c>
      <c r="H185" s="97"/>
      <c r="I185" s="98"/>
      <c r="J185" s="27">
        <f t="shared" si="14"/>
        <v>150000</v>
      </c>
      <c r="K185" s="99"/>
      <c r="L185" s="295"/>
      <c r="M185" s="295"/>
      <c r="N185" s="131"/>
    </row>
    <row r="186" spans="1:14" ht="18.75" customHeight="1">
      <c r="A186" s="67" t="s">
        <v>291</v>
      </c>
      <c r="B186" s="39" t="s">
        <v>29</v>
      </c>
      <c r="C186" s="23" t="s">
        <v>150</v>
      </c>
      <c r="D186" s="68">
        <v>2008</v>
      </c>
      <c r="E186" s="25">
        <f t="shared" si="15"/>
        <v>100000</v>
      </c>
      <c r="F186" s="97"/>
      <c r="G186" s="97">
        <v>100000</v>
      </c>
      <c r="H186" s="97"/>
      <c r="I186" s="98"/>
      <c r="J186" s="27">
        <f t="shared" si="14"/>
        <v>100000</v>
      </c>
      <c r="K186" s="99"/>
      <c r="L186" s="295"/>
      <c r="M186" s="295"/>
      <c r="N186" s="131"/>
    </row>
    <row r="187" spans="1:14" ht="21.75" customHeight="1">
      <c r="A187" s="67"/>
      <c r="B187" s="3" t="s">
        <v>451</v>
      </c>
      <c r="C187" s="3" t="s">
        <v>457</v>
      </c>
      <c r="D187" s="76"/>
      <c r="E187" s="38">
        <f>SUM(E188)</f>
        <v>4000</v>
      </c>
      <c r="F187" s="19">
        <f>SUM(F188)</f>
        <v>0</v>
      </c>
      <c r="G187" s="19">
        <f>SUM(G188)</f>
        <v>0</v>
      </c>
      <c r="H187" s="19">
        <f>SUM(H188)</f>
        <v>0</v>
      </c>
      <c r="I187" s="19">
        <f>SUM(I188)</f>
        <v>4000</v>
      </c>
      <c r="J187" s="20">
        <f t="shared" si="14"/>
        <v>4000</v>
      </c>
      <c r="K187" s="19">
        <f>SUM(K188)</f>
        <v>0</v>
      </c>
      <c r="L187" s="19">
        <f>SUM(L188)</f>
        <v>0</v>
      </c>
      <c r="M187" s="19">
        <f>SUM(M188)</f>
        <v>0</v>
      </c>
      <c r="N187" s="19">
        <f>SUM(N188)</f>
        <v>0</v>
      </c>
    </row>
    <row r="188" spans="1:14" ht="16.5" customHeight="1">
      <c r="A188" s="67" t="s">
        <v>278</v>
      </c>
      <c r="B188" s="39" t="s">
        <v>103</v>
      </c>
      <c r="C188" s="23" t="s">
        <v>67</v>
      </c>
      <c r="D188" s="68">
        <v>2008</v>
      </c>
      <c r="E188" s="25">
        <f>SUM(F188:I188)</f>
        <v>4000</v>
      </c>
      <c r="F188" s="97"/>
      <c r="G188" s="97"/>
      <c r="H188" s="97"/>
      <c r="I188" s="98">
        <v>4000</v>
      </c>
      <c r="J188" s="27">
        <f t="shared" si="14"/>
        <v>4000</v>
      </c>
      <c r="K188" s="99"/>
      <c r="L188" s="295"/>
      <c r="M188" s="295"/>
      <c r="N188" s="131"/>
    </row>
    <row r="189" spans="1:14" ht="23.25" customHeight="1">
      <c r="A189" s="67"/>
      <c r="B189" s="3" t="s">
        <v>454</v>
      </c>
      <c r="C189" s="3" t="s">
        <v>455</v>
      </c>
      <c r="D189" s="76"/>
      <c r="E189" s="38">
        <f>SUM(E190)</f>
        <v>26000</v>
      </c>
      <c r="F189" s="19">
        <f>SUM(F190)</f>
        <v>0</v>
      </c>
      <c r="G189" s="19">
        <f>SUM(G190)</f>
        <v>0</v>
      </c>
      <c r="H189" s="19">
        <f>SUM(H190)</f>
        <v>0</v>
      </c>
      <c r="I189" s="19">
        <f>SUM(I190)</f>
        <v>26000</v>
      </c>
      <c r="J189" s="20">
        <f>E189+K189+L189+M189</f>
        <v>26000</v>
      </c>
      <c r="K189" s="19">
        <f>SUM(K190)</f>
        <v>0</v>
      </c>
      <c r="L189" s="19">
        <f>SUM(L190)</f>
        <v>0</v>
      </c>
      <c r="M189" s="19">
        <f>SUM(M190)</f>
        <v>0</v>
      </c>
      <c r="N189" s="19">
        <f>SUM(N190)</f>
        <v>0</v>
      </c>
    </row>
    <row r="190" spans="1:14" ht="48" customHeight="1">
      <c r="A190" s="67" t="s">
        <v>278</v>
      </c>
      <c r="B190" s="39" t="s">
        <v>103</v>
      </c>
      <c r="C190" s="23" t="s">
        <v>68</v>
      </c>
      <c r="D190" s="68">
        <v>2008</v>
      </c>
      <c r="E190" s="25">
        <f>SUM(F190:I190)</f>
        <v>26000</v>
      </c>
      <c r="F190" s="97"/>
      <c r="G190" s="97"/>
      <c r="H190" s="97"/>
      <c r="I190" s="98">
        <v>26000</v>
      </c>
      <c r="J190" s="27">
        <f>E190+K190+L190+M190</f>
        <v>26000</v>
      </c>
      <c r="K190" s="99"/>
      <c r="L190" s="295"/>
      <c r="M190" s="295"/>
      <c r="N190" s="131"/>
    </row>
    <row r="191" spans="1:14" ht="24.75" customHeight="1">
      <c r="A191" s="37"/>
      <c r="B191" s="3" t="s">
        <v>135</v>
      </c>
      <c r="C191" s="6" t="s">
        <v>136</v>
      </c>
      <c r="D191" s="76"/>
      <c r="E191" s="38">
        <f t="shared" si="15"/>
        <v>350000</v>
      </c>
      <c r="F191" s="19">
        <f>SUM(F192)</f>
        <v>0</v>
      </c>
      <c r="G191" s="19">
        <f>SUM(G192)</f>
        <v>150000</v>
      </c>
      <c r="H191" s="19">
        <f>SUM(H192)</f>
        <v>200000</v>
      </c>
      <c r="I191" s="19">
        <f>SUM(I192)</f>
        <v>0</v>
      </c>
      <c r="J191" s="20">
        <f aca="true" t="shared" si="16" ref="J191:J211">E191+K191+L191+M191</f>
        <v>350000</v>
      </c>
      <c r="K191" s="90">
        <f>SUM(K192)</f>
        <v>0</v>
      </c>
      <c r="L191" s="90">
        <f>SUM(L192)</f>
        <v>0</v>
      </c>
      <c r="M191" s="90">
        <f>SUM(M192)</f>
        <v>0</v>
      </c>
      <c r="N191" s="403">
        <f>SUM(N192)</f>
        <v>0</v>
      </c>
    </row>
    <row r="192" spans="1:14" ht="37.5" customHeight="1">
      <c r="A192" s="37" t="s">
        <v>278</v>
      </c>
      <c r="B192" s="22" t="s">
        <v>283</v>
      </c>
      <c r="C192" s="160" t="s">
        <v>169</v>
      </c>
      <c r="D192" s="60">
        <v>2008</v>
      </c>
      <c r="E192" s="25">
        <f t="shared" si="15"/>
        <v>350000</v>
      </c>
      <c r="F192" s="97"/>
      <c r="G192" s="97">
        <v>150000</v>
      </c>
      <c r="H192" s="97">
        <v>200000</v>
      </c>
      <c r="I192" s="98"/>
      <c r="J192" s="27">
        <f t="shared" si="16"/>
        <v>350000</v>
      </c>
      <c r="K192" s="99"/>
      <c r="L192" s="26"/>
      <c r="M192" s="26"/>
      <c r="N192" s="97"/>
    </row>
    <row r="193" spans="1:14" ht="24.75" customHeight="1">
      <c r="A193" s="37"/>
      <c r="B193" s="3" t="s">
        <v>382</v>
      </c>
      <c r="C193" s="6" t="s">
        <v>100</v>
      </c>
      <c r="D193" s="76"/>
      <c r="E193" s="38">
        <f t="shared" si="15"/>
        <v>2530000</v>
      </c>
      <c r="F193" s="19">
        <f>F197+F198</f>
        <v>0</v>
      </c>
      <c r="G193" s="19">
        <f>G197+G198</f>
        <v>1030000</v>
      </c>
      <c r="H193" s="19">
        <f>H197+H198</f>
        <v>0</v>
      </c>
      <c r="I193" s="19">
        <f>I197+I198</f>
        <v>1500000</v>
      </c>
      <c r="J193" s="20">
        <f t="shared" si="16"/>
        <v>2530000</v>
      </c>
      <c r="K193" s="19">
        <f>K197+K198</f>
        <v>0</v>
      </c>
      <c r="L193" s="19">
        <f>L197+L198</f>
        <v>0</v>
      </c>
      <c r="M193" s="19">
        <f>M197+M198</f>
        <v>0</v>
      </c>
      <c r="N193" s="19">
        <f>N197+N198</f>
        <v>0</v>
      </c>
    </row>
    <row r="194" spans="1:14" ht="15" customHeight="1">
      <c r="A194" s="434" t="s">
        <v>278</v>
      </c>
      <c r="B194" s="39" t="s">
        <v>319</v>
      </c>
      <c r="C194" s="425" t="s">
        <v>535</v>
      </c>
      <c r="D194" s="443" t="s">
        <v>525</v>
      </c>
      <c r="E194" s="25">
        <f>SUM(F194:I194)</f>
        <v>1500000</v>
      </c>
      <c r="F194" s="69"/>
      <c r="G194" s="69"/>
      <c r="H194" s="69">
        <v>0</v>
      </c>
      <c r="I194" s="70">
        <v>1500000</v>
      </c>
      <c r="J194" s="27">
        <f t="shared" si="16"/>
        <v>1500000</v>
      </c>
      <c r="K194" s="71">
        <v>0</v>
      </c>
      <c r="L194" s="26">
        <v>0</v>
      </c>
      <c r="M194" s="26">
        <v>0</v>
      </c>
      <c r="N194" s="97"/>
    </row>
    <row r="195" spans="1:14" ht="13.5" customHeight="1">
      <c r="A195" s="435"/>
      <c r="B195" s="39" t="s">
        <v>370</v>
      </c>
      <c r="C195" s="426"/>
      <c r="D195" s="444"/>
      <c r="E195" s="25">
        <f>SUM(F195:I195)</f>
        <v>500000</v>
      </c>
      <c r="F195" s="69"/>
      <c r="G195" s="69">
        <v>500000</v>
      </c>
      <c r="H195" s="69"/>
      <c r="I195" s="70"/>
      <c r="J195" s="27">
        <f t="shared" si="16"/>
        <v>500000</v>
      </c>
      <c r="K195" s="71"/>
      <c r="L195" s="26"/>
      <c r="M195" s="26"/>
      <c r="N195" s="97"/>
    </row>
    <row r="196" spans="1:14" ht="16.5" customHeight="1">
      <c r="A196" s="435"/>
      <c r="B196" s="39" t="s">
        <v>579</v>
      </c>
      <c r="C196" s="426"/>
      <c r="D196" s="444"/>
      <c r="E196" s="25">
        <f>SUM(F196:I196)</f>
        <v>500000</v>
      </c>
      <c r="F196" s="69"/>
      <c r="G196" s="69">
        <v>500000</v>
      </c>
      <c r="H196" s="69"/>
      <c r="I196" s="70"/>
      <c r="J196" s="27">
        <f t="shared" si="16"/>
        <v>500000</v>
      </c>
      <c r="K196" s="71"/>
      <c r="L196" s="26"/>
      <c r="M196" s="26"/>
      <c r="N196" s="97"/>
    </row>
    <row r="197" spans="1:14" ht="15.75" customHeight="1">
      <c r="A197" s="436"/>
      <c r="B197" s="3" t="s">
        <v>461</v>
      </c>
      <c r="C197" s="427"/>
      <c r="D197" s="445"/>
      <c r="E197" s="38">
        <f>SUM(E194:E196)</f>
        <v>2500000</v>
      </c>
      <c r="F197" s="11">
        <f>SUM(F194:F196)</f>
        <v>0</v>
      </c>
      <c r="G197" s="11">
        <f>SUM(G194:G196)</f>
        <v>1000000</v>
      </c>
      <c r="H197" s="11">
        <f>SUM(H194:H196)</f>
        <v>0</v>
      </c>
      <c r="I197" s="11">
        <f>SUM(I194:I196)</f>
        <v>1500000</v>
      </c>
      <c r="J197" s="20">
        <f t="shared" si="16"/>
        <v>2500000</v>
      </c>
      <c r="K197" s="11">
        <f>SUM(K194:K196)</f>
        <v>0</v>
      </c>
      <c r="L197" s="11">
        <f>SUM(L194:L196)</f>
        <v>0</v>
      </c>
      <c r="M197" s="11">
        <f>SUM(M194:M196)</f>
        <v>0</v>
      </c>
      <c r="N197" s="11">
        <v>0</v>
      </c>
    </row>
    <row r="198" spans="1:14" ht="22.5" customHeight="1">
      <c r="A198" s="37" t="s">
        <v>280</v>
      </c>
      <c r="B198" s="22" t="s">
        <v>283</v>
      </c>
      <c r="C198" s="23" t="s">
        <v>586</v>
      </c>
      <c r="D198" s="60">
        <v>2008</v>
      </c>
      <c r="E198" s="25">
        <f t="shared" si="15"/>
        <v>30000</v>
      </c>
      <c r="F198" s="97"/>
      <c r="G198" s="97">
        <v>30000</v>
      </c>
      <c r="H198" s="97"/>
      <c r="I198" s="98"/>
      <c r="J198" s="27">
        <f t="shared" si="16"/>
        <v>30000</v>
      </c>
      <c r="K198" s="99"/>
      <c r="L198" s="295"/>
      <c r="M198" s="295"/>
      <c r="N198" s="131"/>
    </row>
    <row r="199" spans="1:14" ht="24" customHeight="1">
      <c r="A199" s="37"/>
      <c r="B199" s="3" t="s">
        <v>353</v>
      </c>
      <c r="C199" s="6" t="s">
        <v>354</v>
      </c>
      <c r="D199" s="76"/>
      <c r="E199" s="38">
        <f t="shared" si="15"/>
        <v>6000</v>
      </c>
      <c r="F199" s="19">
        <f>SUM(F200)</f>
        <v>0</v>
      </c>
      <c r="G199" s="19">
        <f>SUM(G200)</f>
        <v>6000</v>
      </c>
      <c r="H199" s="19">
        <f>SUM(H200)</f>
        <v>0</v>
      </c>
      <c r="I199" s="19">
        <f>SUM(I200)</f>
        <v>0</v>
      </c>
      <c r="J199" s="20">
        <f t="shared" si="16"/>
        <v>6000</v>
      </c>
      <c r="K199" s="90">
        <f>SUM(K200)</f>
        <v>0</v>
      </c>
      <c r="L199" s="90">
        <f>SUM(L200)</f>
        <v>0</v>
      </c>
      <c r="M199" s="90">
        <f>SUM(M200)</f>
        <v>0</v>
      </c>
      <c r="N199" s="403">
        <f>SUM(N200)</f>
        <v>0</v>
      </c>
    </row>
    <row r="200" spans="1:14" ht="41.25" customHeight="1">
      <c r="A200" s="37" t="s">
        <v>278</v>
      </c>
      <c r="B200" s="22" t="s">
        <v>283</v>
      </c>
      <c r="C200" s="23" t="s">
        <v>235</v>
      </c>
      <c r="D200" s="60">
        <v>2008</v>
      </c>
      <c r="E200" s="25">
        <f t="shared" si="15"/>
        <v>6000</v>
      </c>
      <c r="F200" s="97"/>
      <c r="G200" s="97">
        <v>6000</v>
      </c>
      <c r="H200" s="97"/>
      <c r="I200" s="98"/>
      <c r="J200" s="27">
        <f t="shared" si="16"/>
        <v>6000</v>
      </c>
      <c r="K200" s="99"/>
      <c r="L200" s="295"/>
      <c r="M200" s="295"/>
      <c r="N200" s="131"/>
    </row>
    <row r="201" spans="1:14" ht="23.25" customHeight="1">
      <c r="A201" s="37"/>
      <c r="B201" s="3" t="s">
        <v>465</v>
      </c>
      <c r="C201" s="6" t="s">
        <v>585</v>
      </c>
      <c r="D201" s="76"/>
      <c r="E201" s="38">
        <f t="shared" si="15"/>
        <v>200000</v>
      </c>
      <c r="F201" s="19">
        <f>SUM(F202:F202)</f>
        <v>0</v>
      </c>
      <c r="G201" s="19">
        <f>SUM(G202:G202)</f>
        <v>200000</v>
      </c>
      <c r="H201" s="19">
        <f>SUM(H202:H202)</f>
        <v>0</v>
      </c>
      <c r="I201" s="19">
        <f>SUM(I202:I202)</f>
        <v>0</v>
      </c>
      <c r="J201" s="20">
        <f t="shared" si="16"/>
        <v>200000</v>
      </c>
      <c r="K201" s="19">
        <f>SUM(K202:K202)</f>
        <v>0</v>
      </c>
      <c r="L201" s="19">
        <f>SUM(L202:L202)</f>
        <v>0</v>
      </c>
      <c r="M201" s="19">
        <f>SUM(M202:M202)</f>
        <v>0</v>
      </c>
      <c r="N201" s="19">
        <f>SUM(N202:N202)</f>
        <v>0</v>
      </c>
    </row>
    <row r="202" spans="1:14" ht="25.5" customHeight="1">
      <c r="A202" s="37" t="s">
        <v>278</v>
      </c>
      <c r="B202" s="22" t="s">
        <v>333</v>
      </c>
      <c r="C202" s="160" t="s">
        <v>509</v>
      </c>
      <c r="D202" s="60">
        <v>2008</v>
      </c>
      <c r="E202" s="25">
        <f t="shared" si="15"/>
        <v>200000</v>
      </c>
      <c r="F202" s="97"/>
      <c r="G202" s="97">
        <v>200000</v>
      </c>
      <c r="H202" s="97"/>
      <c r="I202" s="98"/>
      <c r="J202" s="27">
        <f t="shared" si="16"/>
        <v>200000</v>
      </c>
      <c r="K202" s="99"/>
      <c r="L202" s="26"/>
      <c r="M202" s="26"/>
      <c r="N202" s="97"/>
    </row>
    <row r="203" spans="1:14" ht="27" customHeight="1">
      <c r="A203" s="37"/>
      <c r="B203" s="3" t="s">
        <v>385</v>
      </c>
      <c r="C203" s="6" t="s">
        <v>386</v>
      </c>
      <c r="D203" s="68"/>
      <c r="E203" s="38">
        <f t="shared" si="15"/>
        <v>9853</v>
      </c>
      <c r="F203" s="19">
        <f>SUM(F204:F205)</f>
        <v>0</v>
      </c>
      <c r="G203" s="19">
        <f>SUM(G204:G205)</f>
        <v>9853</v>
      </c>
      <c r="H203" s="19">
        <f>SUM(H204:H205)</f>
        <v>0</v>
      </c>
      <c r="I203" s="19">
        <f>SUM(I204:I205)</f>
        <v>0</v>
      </c>
      <c r="J203" s="20">
        <f t="shared" si="16"/>
        <v>9853</v>
      </c>
      <c r="K203" s="19">
        <f>SUM(K204:K205)</f>
        <v>0</v>
      </c>
      <c r="L203" s="19">
        <f>SUM(L204:L205)</f>
        <v>0</v>
      </c>
      <c r="M203" s="19">
        <f>SUM(M204:M205)</f>
        <v>0</v>
      </c>
      <c r="N203" s="19">
        <f>SUM(N204:N205)</f>
        <v>0</v>
      </c>
    </row>
    <row r="204" spans="1:14" ht="25.5" customHeight="1">
      <c r="A204" s="37" t="s">
        <v>278</v>
      </c>
      <c r="B204" s="22" t="s">
        <v>329</v>
      </c>
      <c r="C204" s="23" t="s">
        <v>200</v>
      </c>
      <c r="D204" s="68">
        <v>2008</v>
      </c>
      <c r="E204" s="25">
        <f t="shared" si="15"/>
        <v>2853</v>
      </c>
      <c r="F204" s="97"/>
      <c r="G204" s="97">
        <v>2853</v>
      </c>
      <c r="H204" s="97"/>
      <c r="I204" s="98"/>
      <c r="J204" s="20">
        <f t="shared" si="16"/>
        <v>2853</v>
      </c>
      <c r="K204" s="99"/>
      <c r="L204" s="295"/>
      <c r="M204" s="295"/>
      <c r="N204" s="131"/>
    </row>
    <row r="205" spans="1:14" ht="15.75" customHeight="1">
      <c r="A205" s="37" t="s">
        <v>280</v>
      </c>
      <c r="B205" s="22" t="s">
        <v>329</v>
      </c>
      <c r="C205" s="23" t="s">
        <v>592</v>
      </c>
      <c r="D205" s="68">
        <v>2008</v>
      </c>
      <c r="E205" s="25">
        <f t="shared" si="15"/>
        <v>7000</v>
      </c>
      <c r="F205" s="97"/>
      <c r="G205" s="97">
        <v>7000</v>
      </c>
      <c r="H205" s="97"/>
      <c r="I205" s="98"/>
      <c r="J205" s="20">
        <f t="shared" si="16"/>
        <v>7000</v>
      </c>
      <c r="K205" s="99"/>
      <c r="L205" s="295"/>
      <c r="M205" s="295"/>
      <c r="N205" s="131"/>
    </row>
    <row r="206" spans="1:15" ht="26.25" customHeight="1">
      <c r="A206" s="37"/>
      <c r="B206" s="3" t="s">
        <v>404</v>
      </c>
      <c r="C206" s="6" t="s">
        <v>97</v>
      </c>
      <c r="D206" s="76"/>
      <c r="E206" s="38">
        <f t="shared" si="15"/>
        <v>1078000</v>
      </c>
      <c r="F206" s="19">
        <f>SUM(F207:F209)</f>
        <v>0</v>
      </c>
      <c r="G206" s="19">
        <f>SUM(G207:G209)</f>
        <v>1078000</v>
      </c>
      <c r="H206" s="19">
        <f>SUM(H207:H209)</f>
        <v>0</v>
      </c>
      <c r="I206" s="19">
        <f>SUM(I207:I209)</f>
        <v>0</v>
      </c>
      <c r="J206" s="20">
        <f t="shared" si="16"/>
        <v>1078000</v>
      </c>
      <c r="K206" s="19">
        <f>SUM(K207:K209)</f>
        <v>0</v>
      </c>
      <c r="L206" s="19">
        <f>SUM(L207:L209)</f>
        <v>0</v>
      </c>
      <c r="M206" s="19">
        <f>SUM(M207:M209)</f>
        <v>0</v>
      </c>
      <c r="N206" s="19">
        <f>SUM(N207:N209)</f>
        <v>800</v>
      </c>
      <c r="O206" s="327"/>
    </row>
    <row r="207" spans="1:15" ht="26.25" customHeight="1">
      <c r="A207" s="37" t="s">
        <v>278</v>
      </c>
      <c r="B207" s="22" t="s">
        <v>283</v>
      </c>
      <c r="C207" s="23" t="s">
        <v>596</v>
      </c>
      <c r="D207" s="68">
        <v>2008</v>
      </c>
      <c r="E207" s="25">
        <f t="shared" si="15"/>
        <v>100000</v>
      </c>
      <c r="F207" s="26"/>
      <c r="G207" s="26">
        <v>100000</v>
      </c>
      <c r="H207" s="26"/>
      <c r="I207" s="28"/>
      <c r="J207" s="27">
        <f t="shared" si="16"/>
        <v>100000</v>
      </c>
      <c r="K207" s="71"/>
      <c r="L207" s="26"/>
      <c r="M207" s="26"/>
      <c r="N207" s="97"/>
      <c r="O207" s="327"/>
    </row>
    <row r="208" spans="1:14" ht="26.25" customHeight="1">
      <c r="A208" s="37" t="s">
        <v>280</v>
      </c>
      <c r="B208" s="22" t="s">
        <v>283</v>
      </c>
      <c r="C208" s="23" t="s">
        <v>234</v>
      </c>
      <c r="D208" s="68" t="s">
        <v>123</v>
      </c>
      <c r="E208" s="25">
        <f t="shared" si="15"/>
        <v>950000</v>
      </c>
      <c r="F208" s="26"/>
      <c r="G208" s="26">
        <v>950000</v>
      </c>
      <c r="H208" s="26"/>
      <c r="I208" s="28"/>
      <c r="J208" s="27">
        <f t="shared" si="16"/>
        <v>950000</v>
      </c>
      <c r="K208" s="71"/>
      <c r="L208" s="26"/>
      <c r="M208" s="26"/>
      <c r="N208" s="97">
        <v>800</v>
      </c>
    </row>
    <row r="209" spans="1:14" ht="27" customHeight="1">
      <c r="A209" s="37" t="s">
        <v>282</v>
      </c>
      <c r="B209" s="22" t="s">
        <v>403</v>
      </c>
      <c r="C209" s="23" t="s">
        <v>594</v>
      </c>
      <c r="D209" s="68">
        <v>2008</v>
      </c>
      <c r="E209" s="25">
        <f t="shared" si="15"/>
        <v>28000</v>
      </c>
      <c r="F209" s="26"/>
      <c r="G209" s="26">
        <v>28000</v>
      </c>
      <c r="H209" s="26"/>
      <c r="I209" s="28"/>
      <c r="J209" s="27">
        <f t="shared" si="16"/>
        <v>28000</v>
      </c>
      <c r="K209" s="71"/>
      <c r="L209" s="295"/>
      <c r="M209" s="295"/>
      <c r="N209" s="131"/>
    </row>
    <row r="210" spans="1:14" ht="24.75" customHeight="1">
      <c r="A210" s="37"/>
      <c r="B210" s="3" t="s">
        <v>446</v>
      </c>
      <c r="C210" s="6" t="s">
        <v>91</v>
      </c>
      <c r="D210" s="76"/>
      <c r="E210" s="38">
        <f t="shared" si="15"/>
        <v>520000</v>
      </c>
      <c r="F210" s="19">
        <f>F211</f>
        <v>0</v>
      </c>
      <c r="G210" s="19">
        <f>G211</f>
        <v>270000</v>
      </c>
      <c r="H210" s="19">
        <f>H211</f>
        <v>0</v>
      </c>
      <c r="I210" s="89">
        <f>I211</f>
        <v>250000</v>
      </c>
      <c r="J210" s="20">
        <f t="shared" si="16"/>
        <v>520000</v>
      </c>
      <c r="K210" s="90">
        <f>K211</f>
        <v>0</v>
      </c>
      <c r="L210" s="90">
        <f>L211</f>
        <v>0</v>
      </c>
      <c r="M210" s="90">
        <f>M211</f>
        <v>0</v>
      </c>
      <c r="N210" s="403">
        <f>N211</f>
        <v>250</v>
      </c>
    </row>
    <row r="211" spans="1:14" ht="23.25" customHeight="1">
      <c r="A211" s="37" t="s">
        <v>278</v>
      </c>
      <c r="B211" s="39" t="s">
        <v>283</v>
      </c>
      <c r="C211" s="23" t="s">
        <v>35</v>
      </c>
      <c r="D211" s="68" t="s">
        <v>544</v>
      </c>
      <c r="E211" s="25">
        <f t="shared" si="15"/>
        <v>520000</v>
      </c>
      <c r="F211" s="97"/>
      <c r="G211" s="97">
        <v>270000</v>
      </c>
      <c r="H211" s="97"/>
      <c r="I211" s="98">
        <v>250000</v>
      </c>
      <c r="J211" s="27">
        <f t="shared" si="16"/>
        <v>520000</v>
      </c>
      <c r="K211" s="99"/>
      <c r="L211" s="26"/>
      <c r="M211" s="24"/>
      <c r="N211" s="299">
        <v>250</v>
      </c>
    </row>
    <row r="213" ht="11.25" customHeight="1"/>
    <row r="214" ht="168" customHeight="1"/>
    <row r="215" ht="409.5" customHeight="1">
      <c r="D215" s="321"/>
    </row>
    <row r="216" spans="3:5" ht="30" customHeight="1">
      <c r="C216" s="396" t="s">
        <v>378</v>
      </c>
      <c r="D216" s="391"/>
      <c r="E216" s="397">
        <f>E218+E223</f>
        <v>68758011</v>
      </c>
    </row>
    <row r="217" ht="13.5" customHeight="1">
      <c r="D217" s="321"/>
    </row>
    <row r="218" spans="3:13" ht="20.25" customHeight="1">
      <c r="C218" s="396" t="s">
        <v>372</v>
      </c>
      <c r="D218" s="391"/>
      <c r="E218" s="397">
        <f>SUM(E219:E222)</f>
        <v>9633623</v>
      </c>
      <c r="F218" s="304"/>
      <c r="G218" s="304"/>
      <c r="H218" s="304"/>
      <c r="I218" s="304"/>
      <c r="J218" s="304"/>
      <c r="K218" s="304"/>
      <c r="L218" s="304"/>
      <c r="M218" s="323"/>
    </row>
    <row r="219" spans="3:13" ht="21.75" customHeight="1">
      <c r="C219" s="392" t="s">
        <v>373</v>
      </c>
      <c r="D219" s="391"/>
      <c r="E219" s="393">
        <f>E88+E90+E91+E93+E94+E95+E96+E107+E192+E198+E200</f>
        <v>830100</v>
      </c>
      <c r="F219" s="304"/>
      <c r="G219" s="304"/>
      <c r="H219" s="304"/>
      <c r="I219" s="304"/>
      <c r="J219" s="304"/>
      <c r="K219" s="304"/>
      <c r="L219" s="304"/>
      <c r="M219" s="323"/>
    </row>
    <row r="220" spans="3:13" ht="21.75" customHeight="1">
      <c r="C220" s="392" t="s">
        <v>374</v>
      </c>
      <c r="D220" s="391"/>
      <c r="E220" s="393">
        <f>E98+E99+E101+E103+E105+E202+E204+E205</f>
        <v>551853</v>
      </c>
      <c r="F220" s="304"/>
      <c r="G220" s="304"/>
      <c r="H220" s="304"/>
      <c r="I220" s="304"/>
      <c r="J220" s="304"/>
      <c r="K220" s="304"/>
      <c r="L220" s="304"/>
      <c r="M220" s="323"/>
    </row>
    <row r="221" spans="3:13" ht="21.75" customHeight="1">
      <c r="C221" s="392" t="s">
        <v>375</v>
      </c>
      <c r="D221" s="391"/>
      <c r="E221" s="393">
        <f>E37+E55+E56+E57+E180+E181+E182+E183+E184+E185+E186+E59</f>
        <v>1053000</v>
      </c>
      <c r="F221" s="304"/>
      <c r="G221" s="304"/>
      <c r="H221" s="304"/>
      <c r="I221" s="304"/>
      <c r="J221" s="304"/>
      <c r="K221" s="304"/>
      <c r="L221" s="304"/>
      <c r="M221" s="323"/>
    </row>
    <row r="222" spans="3:13" ht="21.75" customHeight="1">
      <c r="C222" s="392" t="s">
        <v>376</v>
      </c>
      <c r="D222" s="391"/>
      <c r="E222" s="393">
        <f>E62+E66+E67+E68+E70+E72+E78+E79+E82+E84+E113+E116+E126+E143+E145+E149+E161+E162+E207+E209+E187+E189+E69+E146+E147+E157+E159+E74</f>
        <v>7198670</v>
      </c>
      <c r="F222" s="304"/>
      <c r="G222" s="304"/>
      <c r="H222" s="304"/>
      <c r="I222" s="304"/>
      <c r="J222" s="304"/>
      <c r="K222" s="304"/>
      <c r="L222" s="304"/>
      <c r="M222" s="323"/>
    </row>
    <row r="223" spans="3:16" ht="20.25" customHeight="1">
      <c r="C223" s="396" t="s">
        <v>377</v>
      </c>
      <c r="D223" s="391"/>
      <c r="E223" s="397">
        <f>SUM(E224:E227)</f>
        <v>59124388</v>
      </c>
      <c r="F223" s="304"/>
      <c r="G223" s="304"/>
      <c r="H223" s="304"/>
      <c r="I223" s="304"/>
      <c r="J223" s="304"/>
      <c r="L223" s="304"/>
      <c r="M223" s="323"/>
      <c r="P223" s="325">
        <f>E226+E221</f>
        <v>22430801</v>
      </c>
    </row>
    <row r="224" spans="3:13" ht="21.75" customHeight="1">
      <c r="C224" s="392" t="s">
        <v>373</v>
      </c>
      <c r="D224" s="391"/>
      <c r="E224" s="393">
        <f>E86+E87+E197</f>
        <v>4550000</v>
      </c>
      <c r="F224" s="304"/>
      <c r="G224" s="304"/>
      <c r="H224" s="304"/>
      <c r="I224" s="304"/>
      <c r="J224" s="304"/>
      <c r="K224" s="304"/>
      <c r="L224" s="304"/>
      <c r="M224" s="323"/>
    </row>
    <row r="225" spans="3:13" ht="21.75" customHeight="1">
      <c r="C225" s="392" t="s">
        <v>374</v>
      </c>
      <c r="D225" s="391"/>
      <c r="E225" s="393">
        <f>0</f>
        <v>0</v>
      </c>
      <c r="F225" s="304"/>
      <c r="G225" s="304"/>
      <c r="H225" s="304"/>
      <c r="I225" s="304"/>
      <c r="J225" s="304"/>
      <c r="K225" s="304"/>
      <c r="L225" s="304"/>
      <c r="M225" s="323"/>
    </row>
    <row r="226" spans="3:13" ht="21.75" customHeight="1">
      <c r="C226" s="392" t="s">
        <v>375</v>
      </c>
      <c r="D226" s="391"/>
      <c r="E226" s="393">
        <f>E40+E41+E42+E43+E48+E52+E53+E178+E179+E54+E58+E60</f>
        <v>21377801</v>
      </c>
      <c r="F226" s="304"/>
      <c r="G226" s="304"/>
      <c r="H226" s="304"/>
      <c r="I226" s="304"/>
      <c r="J226" s="304"/>
      <c r="K226" s="304"/>
      <c r="L226" s="304"/>
      <c r="M226" s="323"/>
    </row>
    <row r="227" spans="3:13" ht="21.75" customHeight="1">
      <c r="C227" s="392" t="s">
        <v>376</v>
      </c>
      <c r="D227" s="391"/>
      <c r="E227" s="393">
        <f>E63+E65+E80+E109+E111+E142+E125+E131+E132+E136+E137+E138+E144+E154+E208+E211+E156+E121+E130</f>
        <v>33196587</v>
      </c>
      <c r="F227" s="304"/>
      <c r="G227" s="304"/>
      <c r="H227" s="304"/>
      <c r="I227" s="304"/>
      <c r="J227" s="304"/>
      <c r="K227" s="304"/>
      <c r="L227" s="304"/>
      <c r="M227" s="323"/>
    </row>
    <row r="228" ht="12.75">
      <c r="D228" s="321"/>
    </row>
    <row r="229" ht="12.75">
      <c r="D229" s="321"/>
    </row>
    <row r="230" ht="12.75">
      <c r="D230" s="321"/>
    </row>
    <row r="231" ht="12.75">
      <c r="D231" s="321"/>
    </row>
    <row r="232" spans="4:20" ht="12.75">
      <c r="D232" s="321"/>
      <c r="R232" s="138"/>
      <c r="S232" s="138"/>
      <c r="T232" s="138"/>
    </row>
    <row r="233" spans="4:20" ht="12.75">
      <c r="D233" s="321"/>
      <c r="R233" s="138"/>
      <c r="S233" s="138"/>
      <c r="T233" s="138"/>
    </row>
    <row r="234" spans="4:20" ht="12.75">
      <c r="D234" s="321"/>
      <c r="R234" s="138"/>
      <c r="S234" s="138"/>
      <c r="T234" s="138"/>
    </row>
    <row r="235" spans="4:20" ht="12.75">
      <c r="D235" s="321"/>
      <c r="R235" s="138"/>
      <c r="S235" s="138"/>
      <c r="T235" s="138"/>
    </row>
    <row r="236" spans="4:20" ht="12.75">
      <c r="D236" s="321"/>
      <c r="R236" s="138"/>
      <c r="S236" s="138"/>
      <c r="T236" s="138"/>
    </row>
    <row r="237" spans="4:20" ht="12.75">
      <c r="D237" s="321"/>
      <c r="R237" s="138"/>
      <c r="S237" s="138"/>
      <c r="T237" s="138"/>
    </row>
    <row r="238" spans="4:20" ht="12.75">
      <c r="D238" s="321"/>
      <c r="R238" s="138"/>
      <c r="S238" s="138"/>
      <c r="T238" s="138"/>
    </row>
    <row r="239" spans="2:71" s="328" customFormat="1" ht="12.75">
      <c r="B239" s="114"/>
      <c r="C239" s="329"/>
      <c r="D239" s="330"/>
      <c r="M239" s="330"/>
      <c r="N239" s="293"/>
      <c r="O239" s="325"/>
      <c r="P239" s="138"/>
      <c r="Q239" s="138"/>
      <c r="R239" s="138"/>
      <c r="S239" s="138"/>
      <c r="T239" s="138"/>
      <c r="U239" s="325"/>
      <c r="V239" s="325"/>
      <c r="W239" s="325"/>
      <c r="X239" s="325"/>
      <c r="Y239" s="325"/>
      <c r="Z239" s="325"/>
      <c r="AA239" s="325"/>
      <c r="AB239" s="325"/>
      <c r="AC239" s="325"/>
      <c r="AD239" s="325"/>
      <c r="AE239" s="325"/>
      <c r="AF239" s="325"/>
      <c r="AG239" s="325"/>
      <c r="AH239" s="325"/>
      <c r="AI239" s="325"/>
      <c r="AJ239" s="325"/>
      <c r="AK239" s="325"/>
      <c r="AL239" s="325"/>
      <c r="AM239" s="325"/>
      <c r="AN239" s="325"/>
      <c r="AO239" s="325"/>
      <c r="AP239" s="325"/>
      <c r="AQ239" s="325"/>
      <c r="AR239" s="325"/>
      <c r="AS239" s="325"/>
      <c r="AT239" s="325"/>
      <c r="AU239" s="325"/>
      <c r="AV239" s="325"/>
      <c r="AW239" s="325"/>
      <c r="AX239" s="325"/>
      <c r="AY239" s="325"/>
      <c r="AZ239" s="325"/>
      <c r="BA239" s="325"/>
      <c r="BB239" s="325"/>
      <c r="BC239" s="325"/>
      <c r="BD239" s="325"/>
      <c r="BE239" s="325"/>
      <c r="BF239" s="325"/>
      <c r="BG239" s="325"/>
      <c r="BH239" s="325"/>
      <c r="BI239" s="325"/>
      <c r="BJ239" s="325"/>
      <c r="BK239" s="325"/>
      <c r="BL239" s="325"/>
      <c r="BM239" s="325"/>
      <c r="BN239" s="325"/>
      <c r="BO239" s="325"/>
      <c r="BP239" s="325"/>
      <c r="BQ239" s="325"/>
      <c r="BR239" s="325"/>
      <c r="BS239" s="325"/>
    </row>
    <row r="240" spans="2:71" s="328" customFormat="1" ht="12.75">
      <c r="B240" s="114"/>
      <c r="C240" s="329"/>
      <c r="D240" s="330"/>
      <c r="M240" s="330"/>
      <c r="N240" s="293"/>
      <c r="O240" s="325"/>
      <c r="P240" s="138"/>
      <c r="Q240" s="138"/>
      <c r="R240" s="138"/>
      <c r="S240" s="138"/>
      <c r="T240" s="138"/>
      <c r="U240" s="325"/>
      <c r="V240" s="325"/>
      <c r="W240" s="325"/>
      <c r="X240" s="325"/>
      <c r="Y240" s="325"/>
      <c r="Z240" s="325"/>
      <c r="AA240" s="325"/>
      <c r="AB240" s="325"/>
      <c r="AC240" s="325"/>
      <c r="AD240" s="325"/>
      <c r="AE240" s="325"/>
      <c r="AF240" s="325"/>
      <c r="AG240" s="325"/>
      <c r="AH240" s="325"/>
      <c r="AI240" s="325"/>
      <c r="AJ240" s="325"/>
      <c r="AK240" s="325"/>
      <c r="AL240" s="325"/>
      <c r="AM240" s="325"/>
      <c r="AN240" s="325"/>
      <c r="AO240" s="325"/>
      <c r="AP240" s="325"/>
      <c r="AQ240" s="325"/>
      <c r="AR240" s="325"/>
      <c r="AS240" s="325"/>
      <c r="AT240" s="325"/>
      <c r="AU240" s="325"/>
      <c r="AV240" s="325"/>
      <c r="AW240" s="325"/>
      <c r="AX240" s="325"/>
      <c r="AY240" s="325"/>
      <c r="AZ240" s="325"/>
      <c r="BA240" s="325"/>
      <c r="BB240" s="325"/>
      <c r="BC240" s="325"/>
      <c r="BD240" s="325"/>
      <c r="BE240" s="325"/>
      <c r="BF240" s="325"/>
      <c r="BG240" s="325"/>
      <c r="BH240" s="325"/>
      <c r="BI240" s="325"/>
      <c r="BJ240" s="325"/>
      <c r="BK240" s="325"/>
      <c r="BL240" s="325"/>
      <c r="BM240" s="325"/>
      <c r="BN240" s="325"/>
      <c r="BO240" s="325"/>
      <c r="BP240" s="325"/>
      <c r="BQ240" s="325"/>
      <c r="BR240" s="325"/>
      <c r="BS240" s="325"/>
    </row>
    <row r="241" spans="2:71" s="328" customFormat="1" ht="12.75">
      <c r="B241" s="114"/>
      <c r="C241" s="329"/>
      <c r="D241" s="330"/>
      <c r="E241" s="325"/>
      <c r="F241" s="325"/>
      <c r="G241" s="325"/>
      <c r="H241" s="325"/>
      <c r="I241" s="325"/>
      <c r="J241" s="325"/>
      <c r="K241" s="325"/>
      <c r="L241" s="325"/>
      <c r="M241" s="394"/>
      <c r="N241" s="293"/>
      <c r="O241" s="325"/>
      <c r="P241" s="138"/>
      <c r="Q241" s="138"/>
      <c r="R241" s="138"/>
      <c r="S241" s="138"/>
      <c r="T241" s="138"/>
      <c r="U241" s="325"/>
      <c r="V241" s="325"/>
      <c r="W241" s="325"/>
      <c r="X241" s="325"/>
      <c r="Y241" s="325"/>
      <c r="Z241" s="325"/>
      <c r="AA241" s="325"/>
      <c r="AB241" s="325"/>
      <c r="AC241" s="325"/>
      <c r="AD241" s="325"/>
      <c r="AE241" s="325"/>
      <c r="AF241" s="325"/>
      <c r="AG241" s="325"/>
      <c r="AH241" s="325"/>
      <c r="AI241" s="325"/>
      <c r="AJ241" s="325"/>
      <c r="AK241" s="325"/>
      <c r="AL241" s="325"/>
      <c r="AM241" s="325"/>
      <c r="AN241" s="325"/>
      <c r="AO241" s="325"/>
      <c r="AP241" s="325"/>
      <c r="AQ241" s="325"/>
      <c r="AR241" s="325"/>
      <c r="AS241" s="325"/>
      <c r="AT241" s="325"/>
      <c r="AU241" s="325"/>
      <c r="AV241" s="325"/>
      <c r="AW241" s="325"/>
      <c r="AX241" s="325"/>
      <c r="AY241" s="325"/>
      <c r="AZ241" s="325"/>
      <c r="BA241" s="325"/>
      <c r="BB241" s="325"/>
      <c r="BC241" s="325"/>
      <c r="BD241" s="325"/>
      <c r="BE241" s="325"/>
      <c r="BF241" s="325"/>
      <c r="BG241" s="325"/>
      <c r="BH241" s="325"/>
      <c r="BI241" s="325"/>
      <c r="BJ241" s="325"/>
      <c r="BK241" s="325"/>
      <c r="BL241" s="325"/>
      <c r="BM241" s="325"/>
      <c r="BN241" s="325"/>
      <c r="BO241" s="325"/>
      <c r="BP241" s="325"/>
      <c r="BQ241" s="325"/>
      <c r="BR241" s="325"/>
      <c r="BS241" s="325"/>
    </row>
    <row r="242" spans="2:71" s="328" customFormat="1" ht="12.75">
      <c r="B242" s="114"/>
      <c r="C242" s="329"/>
      <c r="D242" s="330"/>
      <c r="E242" s="325"/>
      <c r="F242" s="325"/>
      <c r="G242" s="325"/>
      <c r="H242" s="325"/>
      <c r="I242" s="325"/>
      <c r="J242" s="325"/>
      <c r="K242" s="325"/>
      <c r="L242" s="325"/>
      <c r="M242" s="394"/>
      <c r="N242" s="293"/>
      <c r="O242" s="325"/>
      <c r="P242" s="138"/>
      <c r="Q242" s="138"/>
      <c r="R242" s="138"/>
      <c r="S242" s="138"/>
      <c r="T242" s="138"/>
      <c r="U242" s="325"/>
      <c r="V242" s="325"/>
      <c r="W242" s="325"/>
      <c r="X242" s="325"/>
      <c r="Y242" s="325"/>
      <c r="Z242" s="325"/>
      <c r="AA242" s="325"/>
      <c r="AB242" s="325"/>
      <c r="AC242" s="325"/>
      <c r="AD242" s="325"/>
      <c r="AE242" s="325"/>
      <c r="AF242" s="325"/>
      <c r="AG242" s="325"/>
      <c r="AH242" s="325"/>
      <c r="AI242" s="325"/>
      <c r="AJ242" s="325"/>
      <c r="AK242" s="325"/>
      <c r="AL242" s="325"/>
      <c r="AM242" s="325"/>
      <c r="AN242" s="325"/>
      <c r="AO242" s="325"/>
      <c r="AP242" s="325"/>
      <c r="AQ242" s="325"/>
      <c r="AR242" s="325"/>
      <c r="AS242" s="325"/>
      <c r="AT242" s="325"/>
      <c r="AU242" s="325"/>
      <c r="AV242" s="325"/>
      <c r="AW242" s="325"/>
      <c r="AX242" s="325"/>
      <c r="AY242" s="325"/>
      <c r="AZ242" s="325"/>
      <c r="BA242" s="325"/>
      <c r="BB242" s="325"/>
      <c r="BC242" s="325"/>
      <c r="BD242" s="325"/>
      <c r="BE242" s="325"/>
      <c r="BF242" s="325"/>
      <c r="BG242" s="325"/>
      <c r="BH242" s="325"/>
      <c r="BI242" s="325"/>
      <c r="BJ242" s="325"/>
      <c r="BK242" s="325"/>
      <c r="BL242" s="325"/>
      <c r="BM242" s="325"/>
      <c r="BN242" s="325"/>
      <c r="BO242" s="325"/>
      <c r="BP242" s="325"/>
      <c r="BQ242" s="325"/>
      <c r="BR242" s="325"/>
      <c r="BS242" s="325"/>
    </row>
    <row r="243" spans="2:71" s="328" customFormat="1" ht="12.75">
      <c r="B243" s="114"/>
      <c r="C243" s="329"/>
      <c r="D243" s="330"/>
      <c r="E243" s="325"/>
      <c r="F243" s="325"/>
      <c r="G243" s="325"/>
      <c r="H243" s="325"/>
      <c r="I243" s="325"/>
      <c r="J243" s="325"/>
      <c r="K243" s="325"/>
      <c r="L243" s="325"/>
      <c r="M243" s="394"/>
      <c r="N243" s="293"/>
      <c r="O243" s="325"/>
      <c r="P243" s="138"/>
      <c r="Q243" s="138"/>
      <c r="R243" s="138"/>
      <c r="S243" s="138"/>
      <c r="T243" s="138"/>
      <c r="U243" s="325"/>
      <c r="V243" s="325"/>
      <c r="W243" s="325"/>
      <c r="X243" s="325"/>
      <c r="Y243" s="325"/>
      <c r="Z243" s="325"/>
      <c r="AA243" s="325"/>
      <c r="AB243" s="325"/>
      <c r="AC243" s="325"/>
      <c r="AD243" s="325"/>
      <c r="AE243" s="325"/>
      <c r="AF243" s="325"/>
      <c r="AG243" s="325"/>
      <c r="AH243" s="325"/>
      <c r="AI243" s="325"/>
      <c r="AJ243" s="325"/>
      <c r="AK243" s="325"/>
      <c r="AL243" s="325"/>
      <c r="AM243" s="325"/>
      <c r="AN243" s="325"/>
      <c r="AO243" s="325"/>
      <c r="AP243" s="325"/>
      <c r="AQ243" s="325"/>
      <c r="AR243" s="325"/>
      <c r="AS243" s="325"/>
      <c r="AT243" s="325"/>
      <c r="AU243" s="325"/>
      <c r="AV243" s="325"/>
      <c r="AW243" s="325"/>
      <c r="AX243" s="325"/>
      <c r="AY243" s="325"/>
      <c r="AZ243" s="325"/>
      <c r="BA243" s="325"/>
      <c r="BB243" s="325"/>
      <c r="BC243" s="325"/>
      <c r="BD243" s="325"/>
      <c r="BE243" s="325"/>
      <c r="BF243" s="325"/>
      <c r="BG243" s="325"/>
      <c r="BH243" s="325"/>
      <c r="BI243" s="325"/>
      <c r="BJ243" s="325"/>
      <c r="BK243" s="325"/>
      <c r="BL243" s="325"/>
      <c r="BM243" s="325"/>
      <c r="BN243" s="325"/>
      <c r="BO243" s="325"/>
      <c r="BP243" s="325"/>
      <c r="BQ243" s="325"/>
      <c r="BR243" s="325"/>
      <c r="BS243" s="325"/>
    </row>
    <row r="244" spans="2:71" s="328" customFormat="1" ht="12.75">
      <c r="B244" s="114"/>
      <c r="C244" s="329"/>
      <c r="D244" s="330"/>
      <c r="E244" s="325"/>
      <c r="F244" s="325"/>
      <c r="G244" s="325"/>
      <c r="H244" s="325"/>
      <c r="I244" s="325"/>
      <c r="J244" s="325"/>
      <c r="K244" s="325"/>
      <c r="L244" s="325"/>
      <c r="M244" s="394"/>
      <c r="N244" s="293"/>
      <c r="O244" s="325"/>
      <c r="P244" s="138"/>
      <c r="Q244" s="138"/>
      <c r="R244" s="138"/>
      <c r="S244" s="138"/>
      <c r="T244" s="138"/>
      <c r="U244" s="325"/>
      <c r="V244" s="325"/>
      <c r="W244" s="325"/>
      <c r="X244" s="325"/>
      <c r="Y244" s="325"/>
      <c r="Z244" s="325"/>
      <c r="AA244" s="325"/>
      <c r="AB244" s="325"/>
      <c r="AC244" s="325"/>
      <c r="AD244" s="325"/>
      <c r="AE244" s="325"/>
      <c r="AF244" s="325"/>
      <c r="AG244" s="325"/>
      <c r="AH244" s="325"/>
      <c r="AI244" s="325"/>
      <c r="AJ244" s="325"/>
      <c r="AK244" s="325"/>
      <c r="AL244" s="325"/>
      <c r="AM244" s="325"/>
      <c r="AN244" s="325"/>
      <c r="AO244" s="325"/>
      <c r="AP244" s="325"/>
      <c r="AQ244" s="325"/>
      <c r="AR244" s="325"/>
      <c r="AS244" s="325"/>
      <c r="AT244" s="325"/>
      <c r="AU244" s="325"/>
      <c r="AV244" s="325"/>
      <c r="AW244" s="325"/>
      <c r="AX244" s="325"/>
      <c r="AY244" s="325"/>
      <c r="AZ244" s="325"/>
      <c r="BA244" s="325"/>
      <c r="BB244" s="325"/>
      <c r="BC244" s="325"/>
      <c r="BD244" s="325"/>
      <c r="BE244" s="325"/>
      <c r="BF244" s="325"/>
      <c r="BG244" s="325"/>
      <c r="BH244" s="325"/>
      <c r="BI244" s="325"/>
      <c r="BJ244" s="325"/>
      <c r="BK244" s="325"/>
      <c r="BL244" s="325"/>
      <c r="BM244" s="325"/>
      <c r="BN244" s="325"/>
      <c r="BO244" s="325"/>
      <c r="BP244" s="325"/>
      <c r="BQ244" s="325"/>
      <c r="BR244" s="325"/>
      <c r="BS244" s="325"/>
    </row>
    <row r="245" spans="2:71" s="328" customFormat="1" ht="12.75">
      <c r="B245" s="114"/>
      <c r="C245" s="329"/>
      <c r="D245" s="330"/>
      <c r="E245" s="325"/>
      <c r="F245" s="200"/>
      <c r="G245" s="199"/>
      <c r="H245" s="199"/>
      <c r="I245" s="199"/>
      <c r="J245" s="199"/>
      <c r="K245" s="201"/>
      <c r="L245" s="325"/>
      <c r="M245" s="394"/>
      <c r="N245" s="293"/>
      <c r="O245" s="325"/>
      <c r="P245" s="138"/>
      <c r="Q245" s="138"/>
      <c r="R245" s="138"/>
      <c r="S245" s="138"/>
      <c r="T245" s="138"/>
      <c r="U245" s="325"/>
      <c r="V245" s="325"/>
      <c r="W245" s="325"/>
      <c r="X245" s="325"/>
      <c r="Y245" s="325"/>
      <c r="Z245" s="325"/>
      <c r="AA245" s="325"/>
      <c r="AB245" s="325"/>
      <c r="AC245" s="325"/>
      <c r="AD245" s="325"/>
      <c r="AE245" s="325"/>
      <c r="AF245" s="325"/>
      <c r="AG245" s="325"/>
      <c r="AH245" s="325"/>
      <c r="AI245" s="325"/>
      <c r="AJ245" s="325"/>
      <c r="AK245" s="325"/>
      <c r="AL245" s="325"/>
      <c r="AM245" s="325"/>
      <c r="AN245" s="325"/>
      <c r="AO245" s="325"/>
      <c r="AP245" s="325"/>
      <c r="AQ245" s="325"/>
      <c r="AR245" s="325"/>
      <c r="AS245" s="325"/>
      <c r="AT245" s="325"/>
      <c r="AU245" s="325"/>
      <c r="AV245" s="325"/>
      <c r="AW245" s="325"/>
      <c r="AX245" s="325"/>
      <c r="AY245" s="325"/>
      <c r="AZ245" s="325"/>
      <c r="BA245" s="325"/>
      <c r="BB245" s="325"/>
      <c r="BC245" s="325"/>
      <c r="BD245" s="325"/>
      <c r="BE245" s="325"/>
      <c r="BF245" s="325"/>
      <c r="BG245" s="325"/>
      <c r="BH245" s="325"/>
      <c r="BI245" s="325"/>
      <c r="BJ245" s="325"/>
      <c r="BK245" s="325"/>
      <c r="BL245" s="325"/>
      <c r="BM245" s="325"/>
      <c r="BN245" s="325"/>
      <c r="BO245" s="325"/>
      <c r="BP245" s="325"/>
      <c r="BQ245" s="325"/>
      <c r="BR245" s="325"/>
      <c r="BS245" s="325"/>
    </row>
    <row r="246" spans="2:71" s="328" customFormat="1" ht="12.75">
      <c r="B246" s="114"/>
      <c r="C246" s="329"/>
      <c r="D246" s="330"/>
      <c r="E246" s="325"/>
      <c r="F246" s="395"/>
      <c r="G246" s="182"/>
      <c r="H246" s="182"/>
      <c r="I246" s="182"/>
      <c r="J246" s="182"/>
      <c r="K246" s="191"/>
      <c r="L246" s="325"/>
      <c r="M246" s="394"/>
      <c r="N246" s="293"/>
      <c r="O246" s="325"/>
      <c r="P246" s="138"/>
      <c r="Q246" s="138"/>
      <c r="R246" s="138"/>
      <c r="S246" s="138"/>
      <c r="T246" s="138"/>
      <c r="U246" s="325"/>
      <c r="V246" s="325"/>
      <c r="W246" s="325"/>
      <c r="X246" s="325"/>
      <c r="Y246" s="325"/>
      <c r="Z246" s="325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</row>
    <row r="247" spans="2:71" s="328" customFormat="1" ht="12.75">
      <c r="B247" s="114"/>
      <c r="C247" s="329"/>
      <c r="D247" s="330"/>
      <c r="E247" s="325"/>
      <c r="F247" s="395"/>
      <c r="G247" s="182"/>
      <c r="H247" s="182"/>
      <c r="I247" s="182"/>
      <c r="J247" s="182"/>
      <c r="K247" s="191"/>
      <c r="L247" s="325"/>
      <c r="M247" s="394"/>
      <c r="N247" s="293"/>
      <c r="O247" s="325"/>
      <c r="P247" s="138"/>
      <c r="Q247" s="138"/>
      <c r="R247" s="138"/>
      <c r="S247" s="138"/>
      <c r="T247" s="138"/>
      <c r="U247" s="325"/>
      <c r="V247" s="325"/>
      <c r="W247" s="325"/>
      <c r="X247" s="325"/>
      <c r="Y247" s="325"/>
      <c r="Z247" s="325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</row>
    <row r="248" spans="2:71" s="328" customFormat="1" ht="12.75">
      <c r="B248" s="114"/>
      <c r="C248" s="329"/>
      <c r="D248" s="330"/>
      <c r="E248" s="325"/>
      <c r="F248" s="395"/>
      <c r="G248" s="182"/>
      <c r="H248" s="182"/>
      <c r="I248" s="182"/>
      <c r="J248" s="182"/>
      <c r="K248" s="191"/>
      <c r="L248" s="325"/>
      <c r="M248" s="394"/>
      <c r="N248" s="293"/>
      <c r="O248" s="325"/>
      <c r="P248" s="138"/>
      <c r="Q248" s="138"/>
      <c r="R248" s="138"/>
      <c r="S248" s="138"/>
      <c r="T248" s="138"/>
      <c r="U248" s="325"/>
      <c r="V248" s="325"/>
      <c r="W248" s="325"/>
      <c r="X248" s="325"/>
      <c r="Y248" s="325"/>
      <c r="Z248" s="325"/>
      <c r="AA248" s="325"/>
      <c r="AB248" s="325"/>
      <c r="AC248" s="325"/>
      <c r="AD248" s="325"/>
      <c r="AE248" s="325"/>
      <c r="AF248" s="325"/>
      <c r="AG248" s="325"/>
      <c r="AH248" s="325"/>
      <c r="AI248" s="325"/>
      <c r="AJ248" s="325"/>
      <c r="AK248" s="325"/>
      <c r="AL248" s="325"/>
      <c r="AM248" s="325"/>
      <c r="AN248" s="325"/>
      <c r="AO248" s="325"/>
      <c r="AP248" s="325"/>
      <c r="AQ248" s="325"/>
      <c r="AR248" s="325"/>
      <c r="AS248" s="325"/>
      <c r="AT248" s="325"/>
      <c r="AU248" s="325"/>
      <c r="AV248" s="325"/>
      <c r="AW248" s="325"/>
      <c r="AX248" s="325"/>
      <c r="AY248" s="325"/>
      <c r="AZ248" s="325"/>
      <c r="BA248" s="325"/>
      <c r="BB248" s="325"/>
      <c r="BC248" s="325"/>
      <c r="BD248" s="325"/>
      <c r="BE248" s="325"/>
      <c r="BF248" s="325"/>
      <c r="BG248" s="325"/>
      <c r="BH248" s="325"/>
      <c r="BI248" s="325"/>
      <c r="BJ248" s="325"/>
      <c r="BK248" s="325"/>
      <c r="BL248" s="325"/>
      <c r="BM248" s="325"/>
      <c r="BN248" s="325"/>
      <c r="BO248" s="325"/>
      <c r="BP248" s="325"/>
      <c r="BQ248" s="325"/>
      <c r="BR248" s="325"/>
      <c r="BS248" s="325"/>
    </row>
    <row r="249" spans="2:71" s="328" customFormat="1" ht="12.75">
      <c r="B249" s="114"/>
      <c r="C249" s="329"/>
      <c r="D249" s="330"/>
      <c r="E249" s="325"/>
      <c r="F249" s="325"/>
      <c r="G249" s="325"/>
      <c r="H249" s="325"/>
      <c r="I249" s="325"/>
      <c r="J249" s="325"/>
      <c r="K249" s="325"/>
      <c r="L249" s="325"/>
      <c r="M249" s="394"/>
      <c r="N249" s="293"/>
      <c r="O249" s="325"/>
      <c r="P249" s="138"/>
      <c r="Q249" s="138"/>
      <c r="R249" s="138"/>
      <c r="S249" s="138"/>
      <c r="T249" s="138"/>
      <c r="U249" s="325"/>
      <c r="V249" s="325"/>
      <c r="W249" s="325"/>
      <c r="X249" s="325"/>
      <c r="Y249" s="325"/>
      <c r="Z249" s="325"/>
      <c r="AA249" s="325"/>
      <c r="AB249" s="325"/>
      <c r="AC249" s="325"/>
      <c r="AD249" s="325"/>
      <c r="AE249" s="325"/>
      <c r="AF249" s="325"/>
      <c r="AG249" s="325"/>
      <c r="AH249" s="325"/>
      <c r="AI249" s="325"/>
      <c r="AJ249" s="325"/>
      <c r="AK249" s="325"/>
      <c r="AL249" s="325"/>
      <c r="AM249" s="325"/>
      <c r="AN249" s="325"/>
      <c r="AO249" s="325"/>
      <c r="AP249" s="325"/>
      <c r="AQ249" s="325"/>
      <c r="AR249" s="325"/>
      <c r="AS249" s="325"/>
      <c r="AT249" s="325"/>
      <c r="AU249" s="325"/>
      <c r="AV249" s="325"/>
      <c r="AW249" s="325"/>
      <c r="AX249" s="325"/>
      <c r="AY249" s="325"/>
      <c r="AZ249" s="325"/>
      <c r="BA249" s="325"/>
      <c r="BB249" s="325"/>
      <c r="BC249" s="325"/>
      <c r="BD249" s="325"/>
      <c r="BE249" s="325"/>
      <c r="BF249" s="325"/>
      <c r="BG249" s="325"/>
      <c r="BH249" s="325"/>
      <c r="BI249" s="325"/>
      <c r="BJ249" s="325"/>
      <c r="BK249" s="325"/>
      <c r="BL249" s="325"/>
      <c r="BM249" s="325"/>
      <c r="BN249" s="325"/>
      <c r="BO249" s="325"/>
      <c r="BP249" s="325"/>
      <c r="BQ249" s="325"/>
      <c r="BR249" s="325"/>
      <c r="BS249" s="325"/>
    </row>
    <row r="250" spans="2:71" s="328" customFormat="1" ht="12.75">
      <c r="B250" s="114"/>
      <c r="C250" s="329"/>
      <c r="D250" s="330"/>
      <c r="E250" s="325"/>
      <c r="F250" s="325"/>
      <c r="G250" s="325"/>
      <c r="H250" s="325"/>
      <c r="I250" s="325"/>
      <c r="J250" s="325"/>
      <c r="K250" s="325"/>
      <c r="L250" s="325"/>
      <c r="M250" s="394"/>
      <c r="N250" s="293"/>
      <c r="O250" s="325"/>
      <c r="P250" s="138"/>
      <c r="Q250" s="138"/>
      <c r="R250" s="138"/>
      <c r="S250" s="138"/>
      <c r="T250" s="138"/>
      <c r="U250" s="325"/>
      <c r="V250" s="325"/>
      <c r="W250" s="325"/>
      <c r="X250" s="325"/>
      <c r="Y250" s="325"/>
      <c r="Z250" s="325"/>
      <c r="AA250" s="325"/>
      <c r="AB250" s="325"/>
      <c r="AC250" s="325"/>
      <c r="AD250" s="325"/>
      <c r="AE250" s="325"/>
      <c r="AF250" s="325"/>
      <c r="AG250" s="325"/>
      <c r="AH250" s="325"/>
      <c r="AI250" s="325"/>
      <c r="AJ250" s="325"/>
      <c r="AK250" s="325"/>
      <c r="AL250" s="325"/>
      <c r="AM250" s="325"/>
      <c r="AN250" s="325"/>
      <c r="AO250" s="325"/>
      <c r="AP250" s="325"/>
      <c r="AQ250" s="325"/>
      <c r="AR250" s="325"/>
      <c r="AS250" s="325"/>
      <c r="AT250" s="325"/>
      <c r="AU250" s="325"/>
      <c r="AV250" s="325"/>
      <c r="AW250" s="325"/>
      <c r="AX250" s="325"/>
      <c r="AY250" s="325"/>
      <c r="AZ250" s="325"/>
      <c r="BA250" s="325"/>
      <c r="BB250" s="325"/>
      <c r="BC250" s="325"/>
      <c r="BD250" s="325"/>
      <c r="BE250" s="325"/>
      <c r="BF250" s="325"/>
      <c r="BG250" s="325"/>
      <c r="BH250" s="325"/>
      <c r="BI250" s="325"/>
      <c r="BJ250" s="325"/>
      <c r="BK250" s="325"/>
      <c r="BL250" s="325"/>
      <c r="BM250" s="325"/>
      <c r="BN250" s="325"/>
      <c r="BO250" s="325"/>
      <c r="BP250" s="325"/>
      <c r="BQ250" s="325"/>
      <c r="BR250" s="325"/>
      <c r="BS250" s="325"/>
    </row>
    <row r="251" spans="2:71" s="328" customFormat="1" ht="12.75">
      <c r="B251" s="114"/>
      <c r="C251" s="329"/>
      <c r="D251" s="330"/>
      <c r="E251" s="325"/>
      <c r="F251" s="325"/>
      <c r="G251" s="325"/>
      <c r="H251" s="325"/>
      <c r="I251" s="325"/>
      <c r="J251" s="325"/>
      <c r="K251" s="325"/>
      <c r="L251" s="325"/>
      <c r="M251" s="394"/>
      <c r="N251" s="293"/>
      <c r="O251" s="325"/>
      <c r="P251" s="138"/>
      <c r="Q251" s="138"/>
      <c r="R251" s="138"/>
      <c r="S251" s="138"/>
      <c r="T251" s="138"/>
      <c r="U251" s="325"/>
      <c r="V251" s="325"/>
      <c r="W251" s="325"/>
      <c r="X251" s="325"/>
      <c r="Y251" s="325"/>
      <c r="Z251" s="325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</row>
    <row r="252" spans="2:71" s="328" customFormat="1" ht="12.75">
      <c r="B252" s="114"/>
      <c r="C252" s="329"/>
      <c r="D252" s="330"/>
      <c r="E252" s="325"/>
      <c r="F252" s="325"/>
      <c r="G252" s="325"/>
      <c r="H252" s="325"/>
      <c r="I252" s="325"/>
      <c r="J252" s="325"/>
      <c r="K252" s="325"/>
      <c r="L252" s="325"/>
      <c r="M252" s="394"/>
      <c r="N252" s="293"/>
      <c r="O252" s="325"/>
      <c r="P252" s="138"/>
      <c r="Q252" s="138"/>
      <c r="R252" s="138"/>
      <c r="S252" s="138"/>
      <c r="T252" s="138"/>
      <c r="U252" s="325"/>
      <c r="V252" s="325"/>
      <c r="W252" s="325"/>
      <c r="X252" s="325"/>
      <c r="Y252" s="325"/>
      <c r="Z252" s="325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</row>
    <row r="253" spans="2:71" s="328" customFormat="1" ht="12.75">
      <c r="B253" s="114"/>
      <c r="C253" s="329"/>
      <c r="D253" s="330"/>
      <c r="E253" s="325"/>
      <c r="F253" s="325"/>
      <c r="G253" s="325"/>
      <c r="H253" s="325"/>
      <c r="I253" s="325"/>
      <c r="J253" s="325"/>
      <c r="K253" s="325"/>
      <c r="L253" s="325"/>
      <c r="M253" s="394"/>
      <c r="N253" s="293"/>
      <c r="O253" s="325"/>
      <c r="P253" s="138"/>
      <c r="Q253" s="138"/>
      <c r="R253" s="138"/>
      <c r="S253" s="138"/>
      <c r="T253" s="138"/>
      <c r="U253" s="325"/>
      <c r="V253" s="325"/>
      <c r="W253" s="325"/>
      <c r="X253" s="325"/>
      <c r="Y253" s="325"/>
      <c r="Z253" s="325"/>
      <c r="AA253" s="325"/>
      <c r="AB253" s="325"/>
      <c r="AC253" s="325"/>
      <c r="AD253" s="325"/>
      <c r="AE253" s="325"/>
      <c r="AF253" s="325"/>
      <c r="AG253" s="325"/>
      <c r="AH253" s="325"/>
      <c r="AI253" s="325"/>
      <c r="AJ253" s="325"/>
      <c r="AK253" s="325"/>
      <c r="AL253" s="325"/>
      <c r="AM253" s="325"/>
      <c r="AN253" s="325"/>
      <c r="AO253" s="325"/>
      <c r="AP253" s="325"/>
      <c r="AQ253" s="325"/>
      <c r="AR253" s="325"/>
      <c r="AS253" s="325"/>
      <c r="AT253" s="325"/>
      <c r="AU253" s="325"/>
      <c r="AV253" s="325"/>
      <c r="AW253" s="325"/>
      <c r="AX253" s="325"/>
      <c r="AY253" s="325"/>
      <c r="AZ253" s="325"/>
      <c r="BA253" s="325"/>
      <c r="BB253" s="325"/>
      <c r="BC253" s="325"/>
      <c r="BD253" s="325"/>
      <c r="BE253" s="325"/>
      <c r="BF253" s="325"/>
      <c r="BG253" s="325"/>
      <c r="BH253" s="325"/>
      <c r="BI253" s="325"/>
      <c r="BJ253" s="325"/>
      <c r="BK253" s="325"/>
      <c r="BL253" s="325"/>
      <c r="BM253" s="325"/>
      <c r="BN253" s="325"/>
      <c r="BO253" s="325"/>
      <c r="BP253" s="325"/>
      <c r="BQ253" s="325"/>
      <c r="BR253" s="325"/>
      <c r="BS253" s="325"/>
    </row>
    <row r="254" spans="2:71" s="328" customFormat="1" ht="12.75">
      <c r="B254" s="114"/>
      <c r="C254" s="329"/>
      <c r="D254" s="330"/>
      <c r="E254" s="325"/>
      <c r="F254" s="325"/>
      <c r="G254" s="325"/>
      <c r="H254" s="325"/>
      <c r="I254" s="325"/>
      <c r="J254" s="325"/>
      <c r="K254" s="325"/>
      <c r="L254" s="325"/>
      <c r="M254" s="394"/>
      <c r="N254" s="293"/>
      <c r="O254" s="325"/>
      <c r="P254" s="138"/>
      <c r="Q254" s="138"/>
      <c r="R254" s="138"/>
      <c r="S254" s="138"/>
      <c r="T254" s="138"/>
      <c r="U254" s="325"/>
      <c r="V254" s="325"/>
      <c r="W254" s="325"/>
      <c r="X254" s="325"/>
      <c r="Y254" s="325"/>
      <c r="Z254" s="325"/>
      <c r="AA254" s="325"/>
      <c r="AB254" s="325"/>
      <c r="AC254" s="325"/>
      <c r="AD254" s="325"/>
      <c r="AE254" s="325"/>
      <c r="AF254" s="325"/>
      <c r="AG254" s="325"/>
      <c r="AH254" s="325"/>
      <c r="AI254" s="325"/>
      <c r="AJ254" s="325"/>
      <c r="AK254" s="325"/>
      <c r="AL254" s="325"/>
      <c r="AM254" s="325"/>
      <c r="AN254" s="325"/>
      <c r="AO254" s="325"/>
      <c r="AP254" s="325"/>
      <c r="AQ254" s="325"/>
      <c r="AR254" s="325"/>
      <c r="AS254" s="325"/>
      <c r="AT254" s="325"/>
      <c r="AU254" s="325"/>
      <c r="AV254" s="325"/>
      <c r="AW254" s="325"/>
      <c r="AX254" s="325"/>
      <c r="AY254" s="325"/>
      <c r="AZ254" s="325"/>
      <c r="BA254" s="325"/>
      <c r="BB254" s="325"/>
      <c r="BC254" s="325"/>
      <c r="BD254" s="325"/>
      <c r="BE254" s="325"/>
      <c r="BF254" s="325"/>
      <c r="BG254" s="325"/>
      <c r="BH254" s="325"/>
      <c r="BI254" s="325"/>
      <c r="BJ254" s="325"/>
      <c r="BK254" s="325"/>
      <c r="BL254" s="325"/>
      <c r="BM254" s="325"/>
      <c r="BN254" s="325"/>
      <c r="BO254" s="325"/>
      <c r="BP254" s="325"/>
      <c r="BQ254" s="325"/>
      <c r="BR254" s="325"/>
      <c r="BS254" s="325"/>
    </row>
    <row r="255" spans="2:71" s="328" customFormat="1" ht="12.75">
      <c r="B255" s="114"/>
      <c r="C255" s="329"/>
      <c r="D255" s="330"/>
      <c r="E255" s="325"/>
      <c r="F255" s="325"/>
      <c r="G255" s="325"/>
      <c r="H255" s="325"/>
      <c r="I255" s="325"/>
      <c r="J255" s="325"/>
      <c r="K255" s="325"/>
      <c r="L255" s="325"/>
      <c r="M255" s="394"/>
      <c r="N255" s="293"/>
      <c r="O255" s="325"/>
      <c r="P255" s="138"/>
      <c r="Q255" s="138"/>
      <c r="R255" s="138"/>
      <c r="S255" s="138"/>
      <c r="T255" s="138"/>
      <c r="U255" s="325"/>
      <c r="V255" s="325"/>
      <c r="W255" s="325"/>
      <c r="X255" s="325"/>
      <c r="Y255" s="325"/>
      <c r="Z255" s="325"/>
      <c r="AA255" s="325"/>
      <c r="AB255" s="325"/>
      <c r="AC255" s="325"/>
      <c r="AD255" s="325"/>
      <c r="AE255" s="325"/>
      <c r="AF255" s="325"/>
      <c r="AG255" s="325"/>
      <c r="AH255" s="325"/>
      <c r="AI255" s="325"/>
      <c r="AJ255" s="325"/>
      <c r="AK255" s="325"/>
      <c r="AL255" s="325"/>
      <c r="AM255" s="325"/>
      <c r="AN255" s="325"/>
      <c r="AO255" s="325"/>
      <c r="AP255" s="325"/>
      <c r="AQ255" s="325"/>
      <c r="AR255" s="325"/>
      <c r="AS255" s="325"/>
      <c r="AT255" s="325"/>
      <c r="AU255" s="325"/>
      <c r="AV255" s="325"/>
      <c r="AW255" s="325"/>
      <c r="AX255" s="325"/>
      <c r="AY255" s="325"/>
      <c r="AZ255" s="325"/>
      <c r="BA255" s="325"/>
      <c r="BB255" s="325"/>
      <c r="BC255" s="325"/>
      <c r="BD255" s="325"/>
      <c r="BE255" s="325"/>
      <c r="BF255" s="325"/>
      <c r="BG255" s="325"/>
      <c r="BH255" s="325"/>
      <c r="BI255" s="325"/>
      <c r="BJ255" s="325"/>
      <c r="BK255" s="325"/>
      <c r="BL255" s="325"/>
      <c r="BM255" s="325"/>
      <c r="BN255" s="325"/>
      <c r="BO255" s="325"/>
      <c r="BP255" s="325"/>
      <c r="BQ255" s="325"/>
      <c r="BR255" s="325"/>
      <c r="BS255" s="325"/>
    </row>
    <row r="256" spans="2:71" s="328" customFormat="1" ht="12.75">
      <c r="B256" s="114"/>
      <c r="C256" s="329"/>
      <c r="D256" s="330"/>
      <c r="E256" s="325"/>
      <c r="F256" s="325"/>
      <c r="G256" s="325"/>
      <c r="H256" s="325"/>
      <c r="I256" s="325"/>
      <c r="J256" s="325"/>
      <c r="K256" s="325"/>
      <c r="L256" s="325"/>
      <c r="M256" s="394"/>
      <c r="N256" s="293"/>
      <c r="O256" s="325"/>
      <c r="P256" s="138"/>
      <c r="Q256" s="138"/>
      <c r="R256" s="138"/>
      <c r="S256" s="138"/>
      <c r="T256" s="138"/>
      <c r="U256" s="325"/>
      <c r="V256" s="325"/>
      <c r="W256" s="325"/>
      <c r="X256" s="325"/>
      <c r="Y256" s="325"/>
      <c r="Z256" s="325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</row>
    <row r="257" spans="2:71" s="328" customFormat="1" ht="12.75">
      <c r="B257" s="114"/>
      <c r="C257" s="329"/>
      <c r="D257" s="330"/>
      <c r="E257" s="325"/>
      <c r="F257" s="325"/>
      <c r="G257" s="325"/>
      <c r="H257" s="325"/>
      <c r="I257" s="325"/>
      <c r="J257" s="325"/>
      <c r="K257" s="325"/>
      <c r="L257" s="325"/>
      <c r="M257" s="394"/>
      <c r="N257" s="293"/>
      <c r="O257" s="325"/>
      <c r="P257" s="138"/>
      <c r="Q257" s="138"/>
      <c r="R257" s="138"/>
      <c r="S257" s="138"/>
      <c r="T257" s="138"/>
      <c r="U257" s="325"/>
      <c r="V257" s="325"/>
      <c r="W257" s="325"/>
      <c r="X257" s="325"/>
      <c r="Y257" s="325"/>
      <c r="Z257" s="325"/>
      <c r="AA257" s="325"/>
      <c r="AB257" s="325"/>
      <c r="AC257" s="325"/>
      <c r="AD257" s="325"/>
      <c r="AE257" s="325"/>
      <c r="AF257" s="325"/>
      <c r="AG257" s="325"/>
      <c r="AH257" s="325"/>
      <c r="AI257" s="325"/>
      <c r="AJ257" s="325"/>
      <c r="AK257" s="325"/>
      <c r="AL257" s="325"/>
      <c r="AM257" s="325"/>
      <c r="AN257" s="325"/>
      <c r="AO257" s="325"/>
      <c r="AP257" s="325"/>
      <c r="AQ257" s="325"/>
      <c r="AR257" s="325"/>
      <c r="AS257" s="325"/>
      <c r="AT257" s="325"/>
      <c r="AU257" s="325"/>
      <c r="AV257" s="325"/>
      <c r="AW257" s="325"/>
      <c r="AX257" s="325"/>
      <c r="AY257" s="325"/>
      <c r="AZ257" s="325"/>
      <c r="BA257" s="325"/>
      <c r="BB257" s="325"/>
      <c r="BC257" s="325"/>
      <c r="BD257" s="325"/>
      <c r="BE257" s="325"/>
      <c r="BF257" s="325"/>
      <c r="BG257" s="325"/>
      <c r="BH257" s="325"/>
      <c r="BI257" s="325"/>
      <c r="BJ257" s="325"/>
      <c r="BK257" s="325"/>
      <c r="BL257" s="325"/>
      <c r="BM257" s="325"/>
      <c r="BN257" s="325"/>
      <c r="BO257" s="325"/>
      <c r="BP257" s="325"/>
      <c r="BQ257" s="325"/>
      <c r="BR257" s="325"/>
      <c r="BS257" s="325"/>
    </row>
    <row r="258" spans="2:71" s="328" customFormat="1" ht="12.75">
      <c r="B258" s="114"/>
      <c r="C258" s="329"/>
      <c r="D258" s="330"/>
      <c r="E258" s="325"/>
      <c r="F258" s="325"/>
      <c r="G258" s="325"/>
      <c r="H258" s="325"/>
      <c r="I258" s="325"/>
      <c r="J258" s="325"/>
      <c r="K258" s="325"/>
      <c r="L258" s="325"/>
      <c r="M258" s="394"/>
      <c r="N258" s="293"/>
      <c r="O258" s="325"/>
      <c r="P258" s="138"/>
      <c r="Q258" s="138"/>
      <c r="R258" s="138"/>
      <c r="S258" s="138"/>
      <c r="T258" s="138"/>
      <c r="U258" s="325"/>
      <c r="V258" s="325"/>
      <c r="W258" s="325"/>
      <c r="X258" s="325"/>
      <c r="Y258" s="325"/>
      <c r="Z258" s="325"/>
      <c r="AA258" s="325"/>
      <c r="AB258" s="325"/>
      <c r="AC258" s="325"/>
      <c r="AD258" s="325"/>
      <c r="AE258" s="325"/>
      <c r="AF258" s="325"/>
      <c r="AG258" s="325"/>
      <c r="AH258" s="325"/>
      <c r="AI258" s="325"/>
      <c r="AJ258" s="325"/>
      <c r="AK258" s="325"/>
      <c r="AL258" s="325"/>
      <c r="AM258" s="325"/>
      <c r="AN258" s="325"/>
      <c r="AO258" s="325"/>
      <c r="AP258" s="325"/>
      <c r="AQ258" s="325"/>
      <c r="AR258" s="325"/>
      <c r="AS258" s="325"/>
      <c r="AT258" s="325"/>
      <c r="AU258" s="325"/>
      <c r="AV258" s="325"/>
      <c r="AW258" s="325"/>
      <c r="AX258" s="325"/>
      <c r="AY258" s="325"/>
      <c r="AZ258" s="325"/>
      <c r="BA258" s="325"/>
      <c r="BB258" s="325"/>
      <c r="BC258" s="325"/>
      <c r="BD258" s="325"/>
      <c r="BE258" s="325"/>
      <c r="BF258" s="325"/>
      <c r="BG258" s="325"/>
      <c r="BH258" s="325"/>
      <c r="BI258" s="325"/>
      <c r="BJ258" s="325"/>
      <c r="BK258" s="325"/>
      <c r="BL258" s="325"/>
      <c r="BM258" s="325"/>
      <c r="BN258" s="325"/>
      <c r="BO258" s="325"/>
      <c r="BP258" s="325"/>
      <c r="BQ258" s="325"/>
      <c r="BR258" s="325"/>
      <c r="BS258" s="325"/>
    </row>
    <row r="259" spans="2:71" s="328" customFormat="1" ht="12.75">
      <c r="B259" s="114"/>
      <c r="C259" s="329"/>
      <c r="D259" s="330"/>
      <c r="M259" s="330"/>
      <c r="N259" s="293"/>
      <c r="O259" s="325"/>
      <c r="P259" s="138"/>
      <c r="Q259" s="138"/>
      <c r="R259" s="138"/>
      <c r="S259" s="138"/>
      <c r="T259" s="138"/>
      <c r="U259" s="325"/>
      <c r="V259" s="325"/>
      <c r="W259" s="325"/>
      <c r="X259" s="325"/>
      <c r="Y259" s="325"/>
      <c r="Z259" s="325"/>
      <c r="AA259" s="325"/>
      <c r="AB259" s="325"/>
      <c r="AC259" s="325"/>
      <c r="AD259" s="325"/>
      <c r="AE259" s="325"/>
      <c r="AF259" s="325"/>
      <c r="AG259" s="325"/>
      <c r="AH259" s="325"/>
      <c r="AI259" s="325"/>
      <c r="AJ259" s="325"/>
      <c r="AK259" s="325"/>
      <c r="AL259" s="325"/>
      <c r="AM259" s="325"/>
      <c r="AN259" s="325"/>
      <c r="AO259" s="325"/>
      <c r="AP259" s="325"/>
      <c r="AQ259" s="325"/>
      <c r="AR259" s="325"/>
      <c r="AS259" s="325"/>
      <c r="AT259" s="325"/>
      <c r="AU259" s="325"/>
      <c r="AV259" s="325"/>
      <c r="AW259" s="325"/>
      <c r="AX259" s="325"/>
      <c r="AY259" s="325"/>
      <c r="AZ259" s="325"/>
      <c r="BA259" s="325"/>
      <c r="BB259" s="325"/>
      <c r="BC259" s="325"/>
      <c r="BD259" s="325"/>
      <c r="BE259" s="325"/>
      <c r="BF259" s="325"/>
      <c r="BG259" s="325"/>
      <c r="BH259" s="325"/>
      <c r="BI259" s="325"/>
      <c r="BJ259" s="325"/>
      <c r="BK259" s="325"/>
      <c r="BL259" s="325"/>
      <c r="BM259" s="325"/>
      <c r="BN259" s="325"/>
      <c r="BO259" s="325"/>
      <c r="BP259" s="325"/>
      <c r="BQ259" s="325"/>
      <c r="BR259" s="325"/>
      <c r="BS259" s="325"/>
    </row>
    <row r="260" spans="2:71" s="328" customFormat="1" ht="12.75">
      <c r="B260" s="114"/>
      <c r="C260" s="329"/>
      <c r="D260" s="330"/>
      <c r="M260" s="330"/>
      <c r="N260" s="293"/>
      <c r="O260" s="325"/>
      <c r="P260" s="138"/>
      <c r="Q260" s="138"/>
      <c r="R260" s="138"/>
      <c r="S260" s="138"/>
      <c r="T260" s="138"/>
      <c r="U260" s="325"/>
      <c r="V260" s="325"/>
      <c r="W260" s="325"/>
      <c r="X260" s="325"/>
      <c r="Y260" s="325"/>
      <c r="Z260" s="325"/>
      <c r="AA260" s="325"/>
      <c r="AB260" s="325"/>
      <c r="AC260" s="325"/>
      <c r="AD260" s="325"/>
      <c r="AE260" s="325"/>
      <c r="AF260" s="325"/>
      <c r="AG260" s="325"/>
      <c r="AH260" s="325"/>
      <c r="AI260" s="325"/>
      <c r="AJ260" s="325"/>
      <c r="AK260" s="325"/>
      <c r="AL260" s="325"/>
      <c r="AM260" s="325"/>
      <c r="AN260" s="325"/>
      <c r="AO260" s="325"/>
      <c r="AP260" s="325"/>
      <c r="AQ260" s="325"/>
      <c r="AR260" s="325"/>
      <c r="AS260" s="325"/>
      <c r="AT260" s="325"/>
      <c r="AU260" s="325"/>
      <c r="AV260" s="325"/>
      <c r="AW260" s="325"/>
      <c r="AX260" s="325"/>
      <c r="AY260" s="325"/>
      <c r="AZ260" s="325"/>
      <c r="BA260" s="325"/>
      <c r="BB260" s="325"/>
      <c r="BC260" s="325"/>
      <c r="BD260" s="325"/>
      <c r="BE260" s="325"/>
      <c r="BF260" s="325"/>
      <c r="BG260" s="325"/>
      <c r="BH260" s="325"/>
      <c r="BI260" s="325"/>
      <c r="BJ260" s="325"/>
      <c r="BK260" s="325"/>
      <c r="BL260" s="325"/>
      <c r="BM260" s="325"/>
      <c r="BN260" s="325"/>
      <c r="BO260" s="325"/>
      <c r="BP260" s="325"/>
      <c r="BQ260" s="325"/>
      <c r="BR260" s="325"/>
      <c r="BS260" s="325"/>
    </row>
    <row r="261" spans="2:71" s="328" customFormat="1" ht="12.75">
      <c r="B261" s="114"/>
      <c r="C261" s="329"/>
      <c r="D261" s="330"/>
      <c r="M261" s="330"/>
      <c r="N261" s="293"/>
      <c r="O261" s="325"/>
      <c r="P261" s="138"/>
      <c r="Q261" s="138"/>
      <c r="R261" s="138"/>
      <c r="S261" s="138"/>
      <c r="T261" s="138"/>
      <c r="U261" s="325"/>
      <c r="V261" s="325"/>
      <c r="W261" s="325"/>
      <c r="X261" s="325"/>
      <c r="Y261" s="325"/>
      <c r="Z261" s="325"/>
      <c r="AA261" s="325"/>
      <c r="AB261" s="325"/>
      <c r="AC261" s="325"/>
      <c r="AD261" s="325"/>
      <c r="AE261" s="325"/>
      <c r="AF261" s="325"/>
      <c r="AG261" s="325"/>
      <c r="AH261" s="325"/>
      <c r="AI261" s="325"/>
      <c r="AJ261" s="325"/>
      <c r="AK261" s="325"/>
      <c r="AL261" s="325"/>
      <c r="AM261" s="325"/>
      <c r="AN261" s="325"/>
      <c r="AO261" s="325"/>
      <c r="AP261" s="325"/>
      <c r="AQ261" s="325"/>
      <c r="AR261" s="325"/>
      <c r="AS261" s="325"/>
      <c r="AT261" s="325"/>
      <c r="AU261" s="325"/>
      <c r="AV261" s="325"/>
      <c r="AW261" s="325"/>
      <c r="AX261" s="325"/>
      <c r="AY261" s="325"/>
      <c r="AZ261" s="325"/>
      <c r="BA261" s="325"/>
      <c r="BB261" s="325"/>
      <c r="BC261" s="325"/>
      <c r="BD261" s="325"/>
      <c r="BE261" s="325"/>
      <c r="BF261" s="325"/>
      <c r="BG261" s="325"/>
      <c r="BH261" s="325"/>
      <c r="BI261" s="325"/>
      <c r="BJ261" s="325"/>
      <c r="BK261" s="325"/>
      <c r="BL261" s="325"/>
      <c r="BM261" s="325"/>
      <c r="BN261" s="325"/>
      <c r="BO261" s="325"/>
      <c r="BP261" s="325"/>
      <c r="BQ261" s="325"/>
      <c r="BR261" s="325"/>
      <c r="BS261" s="325"/>
    </row>
    <row r="262" spans="2:71" s="328" customFormat="1" ht="12.75">
      <c r="B262" s="114"/>
      <c r="C262" s="329"/>
      <c r="D262" s="330"/>
      <c r="M262" s="330"/>
      <c r="N262" s="293"/>
      <c r="O262" s="325"/>
      <c r="P262" s="138"/>
      <c r="Q262" s="138"/>
      <c r="R262" s="138"/>
      <c r="S262" s="138"/>
      <c r="T262" s="138"/>
      <c r="U262" s="325"/>
      <c r="V262" s="325"/>
      <c r="W262" s="325"/>
      <c r="X262" s="325"/>
      <c r="Y262" s="325"/>
      <c r="Z262" s="325"/>
      <c r="AA262" s="325"/>
      <c r="AB262" s="325"/>
      <c r="AC262" s="325"/>
      <c r="AD262" s="325"/>
      <c r="AE262" s="325"/>
      <c r="AF262" s="325"/>
      <c r="AG262" s="325"/>
      <c r="AH262" s="325"/>
      <c r="AI262" s="325"/>
      <c r="AJ262" s="325"/>
      <c r="AK262" s="325"/>
      <c r="AL262" s="325"/>
      <c r="AM262" s="325"/>
      <c r="AN262" s="325"/>
      <c r="AO262" s="325"/>
      <c r="AP262" s="325"/>
      <c r="AQ262" s="325"/>
      <c r="AR262" s="325"/>
      <c r="AS262" s="325"/>
      <c r="AT262" s="325"/>
      <c r="AU262" s="325"/>
      <c r="AV262" s="325"/>
      <c r="AW262" s="325"/>
      <c r="AX262" s="325"/>
      <c r="AY262" s="325"/>
      <c r="AZ262" s="325"/>
      <c r="BA262" s="325"/>
      <c r="BB262" s="325"/>
      <c r="BC262" s="325"/>
      <c r="BD262" s="325"/>
      <c r="BE262" s="325"/>
      <c r="BF262" s="325"/>
      <c r="BG262" s="325"/>
      <c r="BH262" s="325"/>
      <c r="BI262" s="325"/>
      <c r="BJ262" s="325"/>
      <c r="BK262" s="325"/>
      <c r="BL262" s="325"/>
      <c r="BM262" s="325"/>
      <c r="BN262" s="325"/>
      <c r="BO262" s="325"/>
      <c r="BP262" s="325"/>
      <c r="BQ262" s="325"/>
      <c r="BR262" s="325"/>
      <c r="BS262" s="325"/>
    </row>
    <row r="263" spans="2:71" s="328" customFormat="1" ht="12.75">
      <c r="B263" s="114"/>
      <c r="C263" s="329"/>
      <c r="D263" s="330"/>
      <c r="M263" s="330"/>
      <c r="N263" s="293"/>
      <c r="O263" s="325"/>
      <c r="P263" s="138"/>
      <c r="Q263" s="138"/>
      <c r="R263" s="2"/>
      <c r="S263" s="2"/>
      <c r="T263" s="2"/>
      <c r="U263" s="325"/>
      <c r="V263" s="325"/>
      <c r="W263" s="325"/>
      <c r="X263" s="325"/>
      <c r="Y263" s="325"/>
      <c r="Z263" s="325"/>
      <c r="AA263" s="325"/>
      <c r="AB263" s="325"/>
      <c r="AC263" s="325"/>
      <c r="AD263" s="325"/>
      <c r="AE263" s="325"/>
      <c r="AF263" s="325"/>
      <c r="AG263" s="325"/>
      <c r="AH263" s="325"/>
      <c r="AI263" s="325"/>
      <c r="AJ263" s="325"/>
      <c r="AK263" s="325"/>
      <c r="AL263" s="325"/>
      <c r="AM263" s="325"/>
      <c r="AN263" s="325"/>
      <c r="AO263" s="325"/>
      <c r="AP263" s="325"/>
      <c r="AQ263" s="325"/>
      <c r="AR263" s="325"/>
      <c r="AS263" s="325"/>
      <c r="AT263" s="325"/>
      <c r="AU263" s="325"/>
      <c r="AV263" s="325"/>
      <c r="AW263" s="325"/>
      <c r="AX263" s="325"/>
      <c r="AY263" s="325"/>
      <c r="AZ263" s="325"/>
      <c r="BA263" s="325"/>
      <c r="BB263" s="325"/>
      <c r="BC263" s="325"/>
      <c r="BD263" s="325"/>
      <c r="BE263" s="325"/>
      <c r="BF263" s="325"/>
      <c r="BG263" s="325"/>
      <c r="BH263" s="325"/>
      <c r="BI263" s="325"/>
      <c r="BJ263" s="325"/>
      <c r="BK263" s="325"/>
      <c r="BL263" s="325"/>
      <c r="BM263" s="325"/>
      <c r="BN263" s="325"/>
      <c r="BO263" s="325"/>
      <c r="BP263" s="325"/>
      <c r="BQ263" s="325"/>
      <c r="BR263" s="325"/>
      <c r="BS263" s="325"/>
    </row>
    <row r="264" spans="2:71" s="328" customFormat="1" ht="12.75">
      <c r="B264" s="114"/>
      <c r="C264" s="329"/>
      <c r="D264" s="330"/>
      <c r="M264" s="330"/>
      <c r="N264" s="293"/>
      <c r="O264" s="325"/>
      <c r="P264" s="138"/>
      <c r="Q264" s="138"/>
      <c r="R264" s="2"/>
      <c r="S264" s="2"/>
      <c r="T264" s="2"/>
      <c r="U264" s="325"/>
      <c r="V264" s="325"/>
      <c r="W264" s="325"/>
      <c r="X264" s="325"/>
      <c r="Y264" s="325"/>
      <c r="Z264" s="325"/>
      <c r="AA264" s="325"/>
      <c r="AB264" s="325"/>
      <c r="AC264" s="325"/>
      <c r="AD264" s="325"/>
      <c r="AE264" s="325"/>
      <c r="AF264" s="325"/>
      <c r="AG264" s="325"/>
      <c r="AH264" s="325"/>
      <c r="AI264" s="325"/>
      <c r="AJ264" s="325"/>
      <c r="AK264" s="325"/>
      <c r="AL264" s="325"/>
      <c r="AM264" s="325"/>
      <c r="AN264" s="325"/>
      <c r="AO264" s="325"/>
      <c r="AP264" s="325"/>
      <c r="AQ264" s="325"/>
      <c r="AR264" s="325"/>
      <c r="AS264" s="325"/>
      <c r="AT264" s="325"/>
      <c r="AU264" s="325"/>
      <c r="AV264" s="325"/>
      <c r="AW264" s="325"/>
      <c r="AX264" s="325"/>
      <c r="AY264" s="325"/>
      <c r="AZ264" s="325"/>
      <c r="BA264" s="325"/>
      <c r="BB264" s="325"/>
      <c r="BC264" s="325"/>
      <c r="BD264" s="325"/>
      <c r="BE264" s="325"/>
      <c r="BF264" s="325"/>
      <c r="BG264" s="325"/>
      <c r="BH264" s="325"/>
      <c r="BI264" s="325"/>
      <c r="BJ264" s="325"/>
      <c r="BK264" s="325"/>
      <c r="BL264" s="325"/>
      <c r="BM264" s="325"/>
      <c r="BN264" s="325"/>
      <c r="BO264" s="325"/>
      <c r="BP264" s="325"/>
      <c r="BQ264" s="325"/>
      <c r="BR264" s="325"/>
      <c r="BS264" s="325"/>
    </row>
    <row r="265" spans="2:71" s="328" customFormat="1" ht="12.75">
      <c r="B265" s="114"/>
      <c r="C265" s="329"/>
      <c r="D265" s="330"/>
      <c r="M265" s="330"/>
      <c r="N265" s="293"/>
      <c r="O265" s="325"/>
      <c r="P265" s="138"/>
      <c r="Q265" s="138"/>
      <c r="R265" s="2"/>
      <c r="S265" s="2"/>
      <c r="T265" s="2"/>
      <c r="U265" s="325"/>
      <c r="V265" s="325"/>
      <c r="W265" s="325"/>
      <c r="X265" s="325"/>
      <c r="Y265" s="325"/>
      <c r="Z265" s="325"/>
      <c r="AA265" s="325"/>
      <c r="AB265" s="325"/>
      <c r="AC265" s="325"/>
      <c r="AD265" s="325"/>
      <c r="AE265" s="325"/>
      <c r="AF265" s="325"/>
      <c r="AG265" s="325"/>
      <c r="AH265" s="325"/>
      <c r="AI265" s="325"/>
      <c r="AJ265" s="325"/>
      <c r="AK265" s="325"/>
      <c r="AL265" s="325"/>
      <c r="AM265" s="325"/>
      <c r="AN265" s="325"/>
      <c r="AO265" s="325"/>
      <c r="AP265" s="325"/>
      <c r="AQ265" s="325"/>
      <c r="AR265" s="325"/>
      <c r="AS265" s="325"/>
      <c r="AT265" s="325"/>
      <c r="AU265" s="325"/>
      <c r="AV265" s="325"/>
      <c r="AW265" s="325"/>
      <c r="AX265" s="325"/>
      <c r="AY265" s="325"/>
      <c r="AZ265" s="325"/>
      <c r="BA265" s="325"/>
      <c r="BB265" s="325"/>
      <c r="BC265" s="325"/>
      <c r="BD265" s="325"/>
      <c r="BE265" s="325"/>
      <c r="BF265" s="325"/>
      <c r="BG265" s="325"/>
      <c r="BH265" s="325"/>
      <c r="BI265" s="325"/>
      <c r="BJ265" s="325"/>
      <c r="BK265" s="325"/>
      <c r="BL265" s="325"/>
      <c r="BM265" s="325"/>
      <c r="BN265" s="325"/>
      <c r="BO265" s="325"/>
      <c r="BP265" s="325"/>
      <c r="BQ265" s="325"/>
      <c r="BR265" s="325"/>
      <c r="BS265" s="325"/>
    </row>
    <row r="266" spans="2:71" s="328" customFormat="1" ht="12.75">
      <c r="B266" s="114"/>
      <c r="C266" s="329"/>
      <c r="D266" s="330"/>
      <c r="M266" s="330"/>
      <c r="N266" s="293"/>
      <c r="O266" s="325"/>
      <c r="P266" s="138"/>
      <c r="Q266" s="138"/>
      <c r="R266" s="2"/>
      <c r="S266" s="2"/>
      <c r="T266" s="2"/>
      <c r="U266" s="325"/>
      <c r="V266" s="325"/>
      <c r="W266" s="325"/>
      <c r="X266" s="325"/>
      <c r="Y266" s="325"/>
      <c r="Z266" s="325"/>
      <c r="AA266" s="325"/>
      <c r="AB266" s="325"/>
      <c r="AC266" s="325"/>
      <c r="AD266" s="325"/>
      <c r="AE266" s="325"/>
      <c r="AF266" s="325"/>
      <c r="AG266" s="325"/>
      <c r="AH266" s="325"/>
      <c r="AI266" s="325"/>
      <c r="AJ266" s="325"/>
      <c r="AK266" s="325"/>
      <c r="AL266" s="325"/>
      <c r="AM266" s="325"/>
      <c r="AN266" s="325"/>
      <c r="AO266" s="325"/>
      <c r="AP266" s="325"/>
      <c r="AQ266" s="325"/>
      <c r="AR266" s="325"/>
      <c r="AS266" s="325"/>
      <c r="AT266" s="325"/>
      <c r="AU266" s="325"/>
      <c r="AV266" s="325"/>
      <c r="AW266" s="325"/>
      <c r="AX266" s="325"/>
      <c r="AY266" s="325"/>
      <c r="AZ266" s="325"/>
      <c r="BA266" s="325"/>
      <c r="BB266" s="325"/>
      <c r="BC266" s="325"/>
      <c r="BD266" s="325"/>
      <c r="BE266" s="325"/>
      <c r="BF266" s="325"/>
      <c r="BG266" s="325"/>
      <c r="BH266" s="325"/>
      <c r="BI266" s="325"/>
      <c r="BJ266" s="325"/>
      <c r="BK266" s="325"/>
      <c r="BL266" s="325"/>
      <c r="BM266" s="325"/>
      <c r="BN266" s="325"/>
      <c r="BO266" s="325"/>
      <c r="BP266" s="325"/>
      <c r="BQ266" s="325"/>
      <c r="BR266" s="325"/>
      <c r="BS266" s="325"/>
    </row>
    <row r="267" spans="2:71" s="328" customFormat="1" ht="12.75">
      <c r="B267" s="114"/>
      <c r="C267" s="329"/>
      <c r="D267" s="330"/>
      <c r="M267" s="330"/>
      <c r="N267" s="293"/>
      <c r="O267" s="325"/>
      <c r="P267" s="138"/>
      <c r="Q267" s="138"/>
      <c r="R267" s="2"/>
      <c r="S267" s="2"/>
      <c r="T267" s="2"/>
      <c r="U267" s="325"/>
      <c r="V267" s="325"/>
      <c r="W267" s="325"/>
      <c r="X267" s="325"/>
      <c r="Y267" s="325"/>
      <c r="Z267" s="325"/>
      <c r="AA267" s="325"/>
      <c r="AB267" s="325"/>
      <c r="AC267" s="325"/>
      <c r="AD267" s="325"/>
      <c r="AE267" s="325"/>
      <c r="AF267" s="325"/>
      <c r="AG267" s="325"/>
      <c r="AH267" s="325"/>
      <c r="AI267" s="325"/>
      <c r="AJ267" s="325"/>
      <c r="AK267" s="325"/>
      <c r="AL267" s="325"/>
      <c r="AM267" s="325"/>
      <c r="AN267" s="325"/>
      <c r="AO267" s="325"/>
      <c r="AP267" s="325"/>
      <c r="AQ267" s="325"/>
      <c r="AR267" s="325"/>
      <c r="AS267" s="325"/>
      <c r="AT267" s="325"/>
      <c r="AU267" s="325"/>
      <c r="AV267" s="325"/>
      <c r="AW267" s="325"/>
      <c r="AX267" s="325"/>
      <c r="AY267" s="325"/>
      <c r="AZ267" s="325"/>
      <c r="BA267" s="325"/>
      <c r="BB267" s="325"/>
      <c r="BC267" s="325"/>
      <c r="BD267" s="325"/>
      <c r="BE267" s="325"/>
      <c r="BF267" s="325"/>
      <c r="BG267" s="325"/>
      <c r="BH267" s="325"/>
      <c r="BI267" s="325"/>
      <c r="BJ267" s="325"/>
      <c r="BK267" s="325"/>
      <c r="BL267" s="325"/>
      <c r="BM267" s="325"/>
      <c r="BN267" s="325"/>
      <c r="BO267" s="325"/>
      <c r="BP267" s="325"/>
      <c r="BQ267" s="325"/>
      <c r="BR267" s="325"/>
      <c r="BS267" s="325"/>
    </row>
    <row r="268" spans="2:71" s="328" customFormat="1" ht="12.75">
      <c r="B268" s="114"/>
      <c r="C268" s="329"/>
      <c r="D268" s="330"/>
      <c r="M268" s="330"/>
      <c r="N268" s="293"/>
      <c r="O268" s="325"/>
      <c r="P268" s="138"/>
      <c r="Q268" s="138"/>
      <c r="R268" s="2"/>
      <c r="S268" s="2"/>
      <c r="T268" s="2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5"/>
      <c r="AW268" s="325"/>
      <c r="AX268" s="325"/>
      <c r="AY268" s="325"/>
      <c r="AZ268" s="325"/>
      <c r="BA268" s="325"/>
      <c r="BB268" s="325"/>
      <c r="BC268" s="325"/>
      <c r="BD268" s="325"/>
      <c r="BE268" s="325"/>
      <c r="BF268" s="325"/>
      <c r="BG268" s="325"/>
      <c r="BH268" s="325"/>
      <c r="BI268" s="325"/>
      <c r="BJ268" s="325"/>
      <c r="BK268" s="325"/>
      <c r="BL268" s="325"/>
      <c r="BM268" s="325"/>
      <c r="BN268" s="325"/>
      <c r="BO268" s="325"/>
      <c r="BP268" s="325"/>
      <c r="BQ268" s="325"/>
      <c r="BR268" s="325"/>
      <c r="BS268" s="325"/>
    </row>
    <row r="269" spans="2:71" s="328" customFormat="1" ht="12.75">
      <c r="B269" s="114"/>
      <c r="C269" s="329"/>
      <c r="D269" s="330"/>
      <c r="M269" s="330"/>
      <c r="N269" s="293"/>
      <c r="O269" s="325"/>
      <c r="P269" s="138"/>
      <c r="Q269" s="138"/>
      <c r="R269" s="2"/>
      <c r="S269" s="2"/>
      <c r="T269" s="2"/>
      <c r="U269" s="325"/>
      <c r="V269" s="325"/>
      <c r="W269" s="325"/>
      <c r="X269" s="325"/>
      <c r="Y269" s="325"/>
      <c r="Z269" s="325"/>
      <c r="AA269" s="325"/>
      <c r="AB269" s="325"/>
      <c r="AC269" s="325"/>
      <c r="AD269" s="325"/>
      <c r="AE269" s="325"/>
      <c r="AF269" s="325"/>
      <c r="AG269" s="325"/>
      <c r="AH269" s="325"/>
      <c r="AI269" s="325"/>
      <c r="AJ269" s="325"/>
      <c r="AK269" s="325"/>
      <c r="AL269" s="325"/>
      <c r="AM269" s="325"/>
      <c r="AN269" s="325"/>
      <c r="AO269" s="325"/>
      <c r="AP269" s="325"/>
      <c r="AQ269" s="325"/>
      <c r="AR269" s="325"/>
      <c r="AS269" s="325"/>
      <c r="AT269" s="325"/>
      <c r="AU269" s="325"/>
      <c r="AV269" s="325"/>
      <c r="AW269" s="325"/>
      <c r="AX269" s="325"/>
      <c r="AY269" s="325"/>
      <c r="AZ269" s="325"/>
      <c r="BA269" s="325"/>
      <c r="BB269" s="325"/>
      <c r="BC269" s="325"/>
      <c r="BD269" s="325"/>
      <c r="BE269" s="325"/>
      <c r="BF269" s="325"/>
      <c r="BG269" s="325"/>
      <c r="BH269" s="325"/>
      <c r="BI269" s="325"/>
      <c r="BJ269" s="325"/>
      <c r="BK269" s="325"/>
      <c r="BL269" s="325"/>
      <c r="BM269" s="325"/>
      <c r="BN269" s="325"/>
      <c r="BO269" s="325"/>
      <c r="BP269" s="325"/>
      <c r="BQ269" s="325"/>
      <c r="BR269" s="325"/>
      <c r="BS269" s="325"/>
    </row>
  </sheetData>
  <mergeCells count="47">
    <mergeCell ref="A194:A197"/>
    <mergeCell ref="C194:C197"/>
    <mergeCell ref="D194:D197"/>
    <mergeCell ref="C43:C44"/>
    <mergeCell ref="A43:A44"/>
    <mergeCell ref="A45:A48"/>
    <mergeCell ref="C45:C48"/>
    <mergeCell ref="C151:C154"/>
    <mergeCell ref="A151:A154"/>
    <mergeCell ref="D151:D154"/>
    <mergeCell ref="A175:A178"/>
    <mergeCell ref="C175:C178"/>
    <mergeCell ref="D175:D178"/>
    <mergeCell ref="A133:A135"/>
    <mergeCell ref="C133:C135"/>
    <mergeCell ref="D133:D135"/>
    <mergeCell ref="A139:A142"/>
    <mergeCell ref="C139:C142"/>
    <mergeCell ref="D139:D142"/>
    <mergeCell ref="A122:A125"/>
    <mergeCell ref="C122:C125"/>
    <mergeCell ref="D122:D125"/>
    <mergeCell ref="A127:A130"/>
    <mergeCell ref="C127:C130"/>
    <mergeCell ref="D127:D130"/>
    <mergeCell ref="A49:A52"/>
    <mergeCell ref="C49:C52"/>
    <mergeCell ref="D49:D52"/>
    <mergeCell ref="A118:A121"/>
    <mergeCell ref="C118:C121"/>
    <mergeCell ref="D118:D121"/>
    <mergeCell ref="A74:A77"/>
    <mergeCell ref="C74:C77"/>
    <mergeCell ref="D74:D77"/>
    <mergeCell ref="R10:X10"/>
    <mergeCell ref="A7:N7"/>
    <mergeCell ref="A9:A10"/>
    <mergeCell ref="B9:B10"/>
    <mergeCell ref="C9:C10"/>
    <mergeCell ref="D9:D10"/>
    <mergeCell ref="E9:E10"/>
    <mergeCell ref="F9:I9"/>
    <mergeCell ref="N9:N10"/>
    <mergeCell ref="D45:D48"/>
    <mergeCell ref="J9:J10"/>
    <mergeCell ref="K9:L9"/>
    <mergeCell ref="M9:M10"/>
  </mergeCells>
  <printOptions/>
  <pageMargins left="0.5511811023622047" right="0.5511811023622047" top="0.4724409448818898" bottom="0.7086614173228347" header="0.5118110236220472" footer="0.5118110236220472"/>
  <pageSetup horizontalDpi="600" verticalDpi="600" orientation="landscape" paperSize="9" scale="8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4-0259</dc:creator>
  <cp:keywords/>
  <dc:description/>
  <cp:lastModifiedBy>4-0259</cp:lastModifiedBy>
  <cp:lastPrinted>2007-12-20T12:25:18Z</cp:lastPrinted>
  <dcterms:created xsi:type="dcterms:W3CDTF">2005-10-17T13:09:06Z</dcterms:created>
  <dcterms:modified xsi:type="dcterms:W3CDTF">2007-12-28T08:08:52Z</dcterms:modified>
  <cp:category/>
  <cp:version/>
  <cp:contentType/>
  <cp:contentStatus/>
</cp:coreProperties>
</file>