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Arkusz1" sheetId="1" r:id="rId1"/>
    <sheet name="wg programu" sheetId="2" r:id="rId2"/>
    <sheet name="wg banku" sheetId="3" r:id="rId3"/>
    <sheet name="wg planu" sheetId="4" r:id="rId4"/>
  </sheets>
  <definedNames>
    <definedName name="_xlnm.Print_Area" localSheetId="3">'wg planu'!$A$1:$M$37</definedName>
    <definedName name="_xlnm.Print_Titles" localSheetId="3">'wg planu'!$4:$5</definedName>
    <definedName name="_xlnm.Print_Titles" localSheetId="1">'wg programu'!$5:$6</definedName>
  </definedNames>
  <calcPr fullCalcOnLoad="1"/>
</workbook>
</file>

<file path=xl/sharedStrings.xml><?xml version="1.0" encoding="utf-8"?>
<sst xmlns="http://schemas.openxmlformats.org/spreadsheetml/2006/main" count="243" uniqueCount="108">
  <si>
    <t>Lp.</t>
  </si>
  <si>
    <t>WYSZCZEGÓLNIENIE</t>
  </si>
  <si>
    <t>Wykonanie 2005</t>
  </si>
  <si>
    <t>Plan 2006</t>
  </si>
  <si>
    <t>Prognoza 2007</t>
  </si>
  <si>
    <t>Dynamika 2005/2006</t>
  </si>
  <si>
    <t>PLAN  PRZEPŁYWÓW  PIENIĘZNYCH</t>
  </si>
  <si>
    <t>A.</t>
  </si>
  <si>
    <t xml:space="preserve">Środki niewykorzystane w latach ubiegłych </t>
  </si>
  <si>
    <t>B.</t>
  </si>
  <si>
    <t>B.I</t>
  </si>
  <si>
    <t>Dochody własne</t>
  </si>
  <si>
    <t>1.</t>
  </si>
  <si>
    <t xml:space="preserve">z podatków i opłat </t>
  </si>
  <si>
    <t>z udziałów w dochodach państwa</t>
  </si>
  <si>
    <t>pozostałe dochody</t>
  </si>
  <si>
    <t>B.II</t>
  </si>
  <si>
    <t>Subwencje</t>
  </si>
  <si>
    <t>B.III</t>
  </si>
  <si>
    <t>Dotacje na zadania zlecone i powierzone</t>
  </si>
  <si>
    <t>B.IV</t>
  </si>
  <si>
    <t>Dotacje na zadania własne</t>
  </si>
  <si>
    <t>B.V</t>
  </si>
  <si>
    <t>Środki pochodzące z Unii Europejskiej</t>
  </si>
  <si>
    <t>C.</t>
  </si>
  <si>
    <t>Zaciągnięte kredyty i pożyczki</t>
  </si>
  <si>
    <t>C.I</t>
  </si>
  <si>
    <t>D.</t>
  </si>
  <si>
    <t>Pozostałe przychody</t>
  </si>
  <si>
    <t>E.</t>
  </si>
  <si>
    <t>F.</t>
  </si>
  <si>
    <t>F.I</t>
  </si>
  <si>
    <t>wydatki bieżące</t>
  </si>
  <si>
    <t>F.II</t>
  </si>
  <si>
    <t>F.III</t>
  </si>
  <si>
    <t>odsetki</t>
  </si>
  <si>
    <t>G.</t>
  </si>
  <si>
    <t>G.I</t>
  </si>
  <si>
    <t>Spłata rat kredytów i pożyczek</t>
  </si>
  <si>
    <t>H.</t>
  </si>
  <si>
    <t>I.</t>
  </si>
  <si>
    <t>RAZEM = /F+G+H/</t>
  </si>
  <si>
    <t xml:space="preserve">J. </t>
  </si>
  <si>
    <t>Środki pozostałe do wykorzystania w latach przyszłych</t>
  </si>
  <si>
    <t xml:space="preserve">K. </t>
  </si>
  <si>
    <t>Kwota poręczeń udzielonych przez jst</t>
  </si>
  <si>
    <t>L.</t>
  </si>
  <si>
    <t>RAZEM = F.3+G-G.I+K</t>
  </si>
  <si>
    <t>Ł.</t>
  </si>
  <si>
    <t>L/B * 100 %</t>
  </si>
  <si>
    <t xml:space="preserve">M. </t>
  </si>
  <si>
    <t xml:space="preserve">Zadłużenie </t>
  </si>
  <si>
    <t>M.I</t>
  </si>
  <si>
    <t>N.</t>
  </si>
  <si>
    <t>M-M.I/B*100%</t>
  </si>
  <si>
    <t>z tego: zobowiązania których termin płatności upłynął</t>
  </si>
  <si>
    <t>WYDATKI  OGÓŁEM</t>
  </si>
  <si>
    <t>DOCHODY OGÓŁEM</t>
  </si>
  <si>
    <t>od kredytów i pożyczek zaciągniętych  w związku ze środkami określonymi w umowie zawartej z podmiotem dysponującym funduszami strukturalnymi lub Funduszem Spójności Unii Europejskiej</t>
  </si>
  <si>
    <t>Pozostałe rozchody</t>
  </si>
  <si>
    <t xml:space="preserve">Informacja o zobowiązaniach innych niż pożyczki i kredyty na dzień 31.03.2006 r. </t>
  </si>
  <si>
    <t>Środki do dyspozycji gminy /A+B+C+D/</t>
  </si>
  <si>
    <t>ze sprzedaży mienia</t>
  </si>
  <si>
    <t>zaciągnięte w związku  ze środkami określonymi w umowie zawartej z podmiotem dysponującym funduszami strukturalnymi lub Funduszem Spójności Unii Europejskiej</t>
  </si>
  <si>
    <t>zaciągnięte w związku ze środkami określonymi w umowie zawartej z podmiotem dysponującym funduszami strukturalnymi lub Funduszem Spójności Unii Europejskiej</t>
  </si>
  <si>
    <t>wydatki majątkowe</t>
  </si>
  <si>
    <t>Piotrków Trybunalski - Miasto na prawach powiatu</t>
  </si>
  <si>
    <t>Sporządzono na dzień 27.04.2006 r.</t>
  </si>
  <si>
    <t>Prognoza 2008</t>
  </si>
  <si>
    <t>Prognoza 2009</t>
  </si>
  <si>
    <t>Prognoza 2010</t>
  </si>
  <si>
    <t>Prognoza 2011</t>
  </si>
  <si>
    <t>Prognoza 2012</t>
  </si>
  <si>
    <t>Prognoza 2013</t>
  </si>
  <si>
    <t>Prognoza 2014</t>
  </si>
  <si>
    <t>Prognoza 2015</t>
  </si>
  <si>
    <t>Sporządzono na dzień  31.05.2006 r.</t>
  </si>
  <si>
    <t>PLAN  PRZEPŁYWÓW  PIENIĘŻNYCH</t>
  </si>
  <si>
    <t>Okres działalność</t>
  </si>
  <si>
    <t>A. DOCHODY OGÓŁEM</t>
  </si>
  <si>
    <t>I. Dochody własne</t>
  </si>
  <si>
    <t>II. Udziały w podatkach budżetu państwa</t>
  </si>
  <si>
    <t>III. Dotacje celowe</t>
  </si>
  <si>
    <t>IV. Środki pochodzące z unii Europejskiej</t>
  </si>
  <si>
    <t>V. Subwencje</t>
  </si>
  <si>
    <t>VI. Wynagrodzenia</t>
  </si>
  <si>
    <t>VII. Pozostałe wydatki bieżące</t>
  </si>
  <si>
    <t>B. WYDATKI  bez inwestycji i obsługi długu</t>
  </si>
  <si>
    <t>C. Wolne środki (A - B)</t>
  </si>
  <si>
    <t>IX. Obsługa zadłużenia w tym;</t>
  </si>
  <si>
    <t>spłata odsetek</t>
  </si>
  <si>
    <t>D. Nadwyżka/Niedobór środków (C-VIII-IX)</t>
  </si>
  <si>
    <t>X. Otrzymane kredyty i pożyczki</t>
  </si>
  <si>
    <t>XI. Emisja papierów wartościowych</t>
  </si>
  <si>
    <t>XII. Inne źródła finansowania</t>
  </si>
  <si>
    <t>Łączne zadłużenie</t>
  </si>
  <si>
    <t>Liczba mieszkańców</t>
  </si>
  <si>
    <t xml:space="preserve">spłata rat kredytów i pożyczek </t>
  </si>
  <si>
    <t>Łączna kwota przypadających do spłat kredytów, pożyczek wraz z odsetkami</t>
  </si>
  <si>
    <t>VIII. Inwestycje (łącznie z pozos.wyd.majątk.)</t>
  </si>
  <si>
    <t>Jednostka samorządu terytorialnego</t>
  </si>
  <si>
    <t>P R O G N O Z A     F I N A N S O W A</t>
  </si>
  <si>
    <t xml:space="preserve">P R O G N O Z A    F I N A N S O W A </t>
  </si>
  <si>
    <t xml:space="preserve">Piotrków Trybunalski - Miasto na prawach powiatu </t>
  </si>
  <si>
    <t>Miasta Piotrkowa Trybunalskiego dla Wieloletniego Programu Inwestycyjnego</t>
  </si>
  <si>
    <t xml:space="preserve">Informacja o zobowiązaniach innych niż pożyczki i kredyty na dzień 30.09.2006 r. </t>
  </si>
  <si>
    <t>Plan na 30.09.2006</t>
  </si>
  <si>
    <t>Sporządził Referat Budżetu i Analiz Finansowych w dniu  19.10.2006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</si>
</sst>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2" width="37.00390625" style="0" customWidth="1"/>
    <col min="3" max="5" width="12.7109375" style="0" customWidth="1"/>
    <col min="6" max="6" width="12.8515625" style="0" customWidth="1"/>
  </cols>
  <sheetData>
    <row r="1" spans="1:6" ht="15.75">
      <c r="A1" s="34" t="s">
        <v>6</v>
      </c>
      <c r="B1" s="34"/>
      <c r="C1" s="34"/>
      <c r="D1" s="34"/>
      <c r="E1" s="34"/>
      <c r="F1" s="34"/>
    </row>
    <row r="3" spans="1:3" ht="12.75">
      <c r="A3" s="35" t="s">
        <v>66</v>
      </c>
      <c r="B3" s="35"/>
      <c r="C3" s="35"/>
    </row>
    <row r="5" spans="1:6" s="2" customFormat="1" ht="25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s="2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4.25">
      <c r="A7" s="4" t="s">
        <v>7</v>
      </c>
      <c r="B7" s="4" t="s">
        <v>8</v>
      </c>
      <c r="C7" s="8">
        <v>5828232</v>
      </c>
      <c r="D7" s="8">
        <v>11579025</v>
      </c>
      <c r="E7" s="8">
        <v>0</v>
      </c>
      <c r="F7" s="9">
        <f>C7/D7</f>
        <v>0.5033439343986217</v>
      </c>
    </row>
    <row r="8" spans="1:6" s="1" customFormat="1" ht="18" customHeight="1">
      <c r="A8" s="6" t="s">
        <v>9</v>
      </c>
      <c r="B8" s="6" t="s">
        <v>57</v>
      </c>
      <c r="C8" s="10">
        <f>C9+C14+C15+C16+C17</f>
        <v>191702437</v>
      </c>
      <c r="D8" s="10">
        <f>D9+D14+D15+D16+D17</f>
        <v>211484584</v>
      </c>
      <c r="E8" s="10">
        <f>E9+E14+E15+E16+E17</f>
        <v>226192088.51999998</v>
      </c>
      <c r="F8" s="9">
        <f aca="true" t="shared" si="0" ref="F8:F35">C8/D8</f>
        <v>0.906460572085954</v>
      </c>
    </row>
    <row r="9" spans="1:6" ht="14.25">
      <c r="A9" s="4" t="s">
        <v>10</v>
      </c>
      <c r="B9" s="4" t="s">
        <v>11</v>
      </c>
      <c r="C9" s="8">
        <f>SUM(C10:C13)</f>
        <v>100554220</v>
      </c>
      <c r="D9" s="8">
        <f>SUM(D10:D13)</f>
        <v>108034846</v>
      </c>
      <c r="E9" s="8">
        <f>SUM(E10:E13)</f>
        <v>112275891.38</v>
      </c>
      <c r="F9" s="9">
        <f t="shared" si="0"/>
        <v>0.9307572854780577</v>
      </c>
    </row>
    <row r="10" spans="1:6" ht="14.25">
      <c r="A10" s="4" t="s">
        <v>12</v>
      </c>
      <c r="B10" s="4" t="s">
        <v>13</v>
      </c>
      <c r="C10" s="8">
        <v>36847445</v>
      </c>
      <c r="D10" s="8">
        <v>36029773</v>
      </c>
      <c r="E10" s="8">
        <f>D10*103%+1000000</f>
        <v>38110666.19</v>
      </c>
      <c r="F10" s="9">
        <f t="shared" si="0"/>
        <v>1.022694342259664</v>
      </c>
    </row>
    <row r="11" spans="1:6" ht="14.25">
      <c r="A11" s="4"/>
      <c r="B11" s="4" t="s">
        <v>62</v>
      </c>
      <c r="C11" s="8">
        <v>10611976</v>
      </c>
      <c r="D11" s="8">
        <v>11192896</v>
      </c>
      <c r="E11" s="8">
        <f aca="true" t="shared" si="1" ref="E11:E16">D11*103%</f>
        <v>11528682.88</v>
      </c>
      <c r="F11" s="9">
        <f t="shared" si="0"/>
        <v>0.9480992229356906</v>
      </c>
    </row>
    <row r="12" spans="1:6" ht="14.25">
      <c r="A12" s="4"/>
      <c r="B12" s="4" t="s">
        <v>14</v>
      </c>
      <c r="C12" s="8">
        <v>44480575</v>
      </c>
      <c r="D12" s="8">
        <v>49088525</v>
      </c>
      <c r="E12" s="8">
        <f t="shared" si="1"/>
        <v>50561180.75</v>
      </c>
      <c r="F12" s="9">
        <f t="shared" si="0"/>
        <v>0.9061297930626353</v>
      </c>
    </row>
    <row r="13" spans="1:6" ht="14.25">
      <c r="A13" s="4"/>
      <c r="B13" s="4" t="s">
        <v>15</v>
      </c>
      <c r="C13" s="8">
        <f>8134298+479926</f>
        <v>8614224</v>
      </c>
      <c r="D13" s="8">
        <v>11723652</v>
      </c>
      <c r="E13" s="8">
        <f t="shared" si="1"/>
        <v>12075361.56</v>
      </c>
      <c r="F13" s="9">
        <f t="shared" si="0"/>
        <v>0.7347730894775791</v>
      </c>
    </row>
    <row r="14" spans="1:6" ht="14.25">
      <c r="A14" s="4" t="s">
        <v>16</v>
      </c>
      <c r="B14" s="4" t="s">
        <v>17</v>
      </c>
      <c r="C14" s="8">
        <v>59832153</v>
      </c>
      <c r="D14" s="8">
        <v>60435593</v>
      </c>
      <c r="E14" s="8">
        <f t="shared" si="1"/>
        <v>62248660.79</v>
      </c>
      <c r="F14" s="9">
        <f t="shared" si="0"/>
        <v>0.9900151554730339</v>
      </c>
    </row>
    <row r="15" spans="1:6" ht="14.25">
      <c r="A15" s="4" t="s">
        <v>18</v>
      </c>
      <c r="B15" s="4" t="s">
        <v>19</v>
      </c>
      <c r="C15" s="8">
        <v>23692438</v>
      </c>
      <c r="D15" s="8">
        <v>27408278</v>
      </c>
      <c r="E15" s="8">
        <f t="shared" si="1"/>
        <v>28230526.34</v>
      </c>
      <c r="F15" s="9">
        <f t="shared" si="0"/>
        <v>0.864426360532391</v>
      </c>
    </row>
    <row r="16" spans="1:6" ht="14.25">
      <c r="A16" s="4" t="s">
        <v>20</v>
      </c>
      <c r="B16" s="4" t="s">
        <v>21</v>
      </c>
      <c r="C16" s="8">
        <v>7318394</v>
      </c>
      <c r="D16" s="8">
        <v>5056967</v>
      </c>
      <c r="E16" s="8">
        <f t="shared" si="1"/>
        <v>5208676.01</v>
      </c>
      <c r="F16" s="9">
        <f t="shared" si="0"/>
        <v>1.4471903811118403</v>
      </c>
    </row>
    <row r="17" spans="1:6" ht="14.25">
      <c r="A17" s="4" t="s">
        <v>22</v>
      </c>
      <c r="B17" s="4" t="s">
        <v>23</v>
      </c>
      <c r="C17" s="8">
        <v>305232</v>
      </c>
      <c r="D17" s="8">
        <v>10548900</v>
      </c>
      <c r="E17" s="8">
        <v>18228334</v>
      </c>
      <c r="F17" s="9">
        <f t="shared" si="0"/>
        <v>0.028934960043227254</v>
      </c>
    </row>
    <row r="18" spans="1:6" s="1" customFormat="1" ht="15">
      <c r="A18" s="6" t="s">
        <v>24</v>
      </c>
      <c r="B18" s="6" t="s">
        <v>25</v>
      </c>
      <c r="C18" s="10">
        <v>31278800</v>
      </c>
      <c r="D18" s="10">
        <v>42300000</v>
      </c>
      <c r="E18" s="10">
        <v>49294110</v>
      </c>
      <c r="F18" s="9">
        <f t="shared" si="0"/>
        <v>0.739451536643026</v>
      </c>
    </row>
    <row r="19" spans="1:6" ht="63.75">
      <c r="A19" s="4" t="s">
        <v>26</v>
      </c>
      <c r="B19" s="5" t="s">
        <v>63</v>
      </c>
      <c r="C19" s="8">
        <f>1338309+301844</f>
        <v>1640153</v>
      </c>
      <c r="D19" s="8">
        <v>3049000</v>
      </c>
      <c r="E19" s="8">
        <v>5363000</v>
      </c>
      <c r="F19" s="9">
        <f t="shared" si="0"/>
        <v>0.5379314529353887</v>
      </c>
    </row>
    <row r="20" spans="1:6" s="1" customFormat="1" ht="15">
      <c r="A20" s="6" t="s">
        <v>27</v>
      </c>
      <c r="B20" s="6" t="s">
        <v>28</v>
      </c>
      <c r="C20" s="10">
        <v>0</v>
      </c>
      <c r="D20" s="10">
        <v>0</v>
      </c>
      <c r="E20" s="10">
        <v>0</v>
      </c>
      <c r="F20" s="9">
        <v>0</v>
      </c>
    </row>
    <row r="21" spans="1:6" ht="14.25">
      <c r="A21" s="4" t="s">
        <v>29</v>
      </c>
      <c r="B21" s="4" t="s">
        <v>61</v>
      </c>
      <c r="C21" s="8">
        <f>C7+C8+C18+C20</f>
        <v>228809469</v>
      </c>
      <c r="D21" s="8">
        <f>D7+D8+D18+D20</f>
        <v>265363609</v>
      </c>
      <c r="E21" s="8">
        <f>E7+E8+E18+E20</f>
        <v>275486198.52</v>
      </c>
      <c r="F21" s="9">
        <f t="shared" si="0"/>
        <v>0.8622488586971245</v>
      </c>
    </row>
    <row r="22" spans="1:6" s="1" customFormat="1" ht="18" customHeight="1">
      <c r="A22" s="6" t="s">
        <v>30</v>
      </c>
      <c r="B22" s="6" t="s">
        <v>56</v>
      </c>
      <c r="C22" s="10">
        <f>SUM(C23:C25)</f>
        <v>209078444</v>
      </c>
      <c r="D22" s="10">
        <f>SUM(D23:D25)</f>
        <v>251322506</v>
      </c>
      <c r="E22" s="10">
        <f>SUM(E23:E25)</f>
        <v>254486199</v>
      </c>
      <c r="F22" s="9">
        <f t="shared" si="0"/>
        <v>0.8319129365994783</v>
      </c>
    </row>
    <row r="23" spans="1:6" ht="14.25">
      <c r="A23" s="4" t="s">
        <v>31</v>
      </c>
      <c r="B23" s="4" t="s">
        <v>32</v>
      </c>
      <c r="C23" s="8">
        <f>175955428-C25</f>
        <v>174435873</v>
      </c>
      <c r="D23" s="8">
        <f>198920581-3520000</f>
        <v>195400581</v>
      </c>
      <c r="E23" s="8">
        <f>204888199-4820000</f>
        <v>200068199</v>
      </c>
      <c r="F23" s="9">
        <f t="shared" si="0"/>
        <v>0.8927090805323654</v>
      </c>
    </row>
    <row r="24" spans="1:6" ht="14.25">
      <c r="A24" s="4" t="s">
        <v>33</v>
      </c>
      <c r="B24" s="4" t="s">
        <v>65</v>
      </c>
      <c r="C24" s="8">
        <v>33123016</v>
      </c>
      <c r="D24" s="8">
        <v>52401925</v>
      </c>
      <c r="E24" s="8">
        <v>49598000</v>
      </c>
      <c r="F24" s="9">
        <f t="shared" si="0"/>
        <v>0.6320954048920913</v>
      </c>
    </row>
    <row r="25" spans="1:6" ht="14.25">
      <c r="A25" s="4" t="s">
        <v>34</v>
      </c>
      <c r="B25" s="4" t="s">
        <v>35</v>
      </c>
      <c r="C25" s="8">
        <v>1519555</v>
      </c>
      <c r="D25" s="8">
        <v>3520000</v>
      </c>
      <c r="E25" s="8">
        <v>4820000</v>
      </c>
      <c r="F25" s="9">
        <f t="shared" si="0"/>
        <v>0.43169176136363635</v>
      </c>
    </row>
    <row r="26" spans="1:6" s="1" customFormat="1" ht="15">
      <c r="A26" s="6" t="s">
        <v>36</v>
      </c>
      <c r="B26" s="6" t="s">
        <v>38</v>
      </c>
      <c r="C26" s="10">
        <v>8152000</v>
      </c>
      <c r="D26" s="10">
        <v>14041103</v>
      </c>
      <c r="E26" s="10">
        <v>21000000</v>
      </c>
      <c r="F26" s="9">
        <f t="shared" si="0"/>
        <v>0.5805811694423152</v>
      </c>
    </row>
    <row r="27" spans="1:11" ht="65.25" customHeight="1">
      <c r="A27" s="4" t="s">
        <v>37</v>
      </c>
      <c r="B27" s="5" t="s">
        <v>58</v>
      </c>
      <c r="C27" s="8">
        <v>0</v>
      </c>
      <c r="D27" s="8">
        <f>301844+1338309*5.88%</f>
        <v>380536.5692</v>
      </c>
      <c r="E27" s="8">
        <f>4*78693+3049000*5%</f>
        <v>467222</v>
      </c>
      <c r="F27" s="9">
        <f t="shared" si="0"/>
        <v>0</v>
      </c>
      <c r="K27" s="7">
        <f>C30-D7</f>
        <v>0</v>
      </c>
    </row>
    <row r="28" spans="1:6" s="1" customFormat="1" ht="15">
      <c r="A28" s="6" t="s">
        <v>39</v>
      </c>
      <c r="B28" s="6" t="s">
        <v>59</v>
      </c>
      <c r="C28" s="10">
        <v>0</v>
      </c>
      <c r="D28" s="10">
        <v>0</v>
      </c>
      <c r="E28" s="10">
        <v>0</v>
      </c>
      <c r="F28" s="9">
        <v>0</v>
      </c>
    </row>
    <row r="29" spans="1:6" ht="14.25">
      <c r="A29" s="4" t="s">
        <v>40</v>
      </c>
      <c r="B29" s="4" t="s">
        <v>41</v>
      </c>
      <c r="C29" s="8">
        <f>C22+C26+C28</f>
        <v>217230444</v>
      </c>
      <c r="D29" s="8">
        <f>D22+D26+D28</f>
        <v>265363609</v>
      </c>
      <c r="E29" s="8">
        <f>E22+E26+E28</f>
        <v>275486199</v>
      </c>
      <c r="F29" s="9">
        <f t="shared" si="0"/>
        <v>0.8186142961298059</v>
      </c>
    </row>
    <row r="30" spans="1:6" ht="25.5">
      <c r="A30" s="4" t="s">
        <v>42</v>
      </c>
      <c r="B30" s="5" t="s">
        <v>43</v>
      </c>
      <c r="C30" s="8">
        <f>C21-C29</f>
        <v>11579025</v>
      </c>
      <c r="D30" s="8">
        <f>D21-D29</f>
        <v>0</v>
      </c>
      <c r="E30" s="8">
        <f>E21-E29</f>
        <v>-0.48000001907348633</v>
      </c>
      <c r="F30" s="9">
        <v>0</v>
      </c>
    </row>
    <row r="31" spans="1:6" ht="14.25">
      <c r="A31" s="4" t="s">
        <v>44</v>
      </c>
      <c r="B31" s="4" t="s">
        <v>45</v>
      </c>
      <c r="C31" s="8">
        <v>0</v>
      </c>
      <c r="D31" s="8">
        <v>0</v>
      </c>
      <c r="E31" s="8">
        <v>0</v>
      </c>
      <c r="F31" s="9">
        <v>0</v>
      </c>
    </row>
    <row r="32" spans="1:6" ht="14.25">
      <c r="A32" s="4" t="s">
        <v>46</v>
      </c>
      <c r="B32" s="4" t="s">
        <v>47</v>
      </c>
      <c r="C32" s="8">
        <f>C25+C26-C27+C31</f>
        <v>9671555</v>
      </c>
      <c r="D32" s="8">
        <f>D25+D26-D27+D31</f>
        <v>17180566.4308</v>
      </c>
      <c r="E32" s="8">
        <f>E25+E26-E27+E31</f>
        <v>25352778</v>
      </c>
      <c r="F32" s="9">
        <f t="shared" si="0"/>
        <v>0.5629357471393713</v>
      </c>
    </row>
    <row r="33" spans="1:6" s="1" customFormat="1" ht="15">
      <c r="A33" s="6" t="s">
        <v>48</v>
      </c>
      <c r="B33" s="6" t="s">
        <v>49</v>
      </c>
      <c r="C33" s="11">
        <f>C32/C8*100</f>
        <v>5.045087142006442</v>
      </c>
      <c r="D33" s="11">
        <f>D32/D8*100</f>
        <v>8.123791392189608</v>
      </c>
      <c r="E33" s="11">
        <f>E32/E8*100</f>
        <v>11.208516692995785</v>
      </c>
      <c r="F33" s="9"/>
    </row>
    <row r="34" spans="1:6" s="1" customFormat="1" ht="15">
      <c r="A34" s="6" t="s">
        <v>50</v>
      </c>
      <c r="B34" s="6" t="s">
        <v>51</v>
      </c>
      <c r="C34" s="10">
        <v>50363070</v>
      </c>
      <c r="D34" s="10">
        <f>C34+D18-D26</f>
        <v>78621967</v>
      </c>
      <c r="E34" s="10">
        <f>D34+E18-E26</f>
        <v>106916077</v>
      </c>
      <c r="F34" s="9">
        <f t="shared" si="0"/>
        <v>0.6405725005582728</v>
      </c>
    </row>
    <row r="35" spans="1:6" ht="63.75">
      <c r="A35" s="4" t="s">
        <v>52</v>
      </c>
      <c r="B35" s="5" t="s">
        <v>64</v>
      </c>
      <c r="C35" s="8">
        <f>C19-C27</f>
        <v>1640153</v>
      </c>
      <c r="D35" s="8">
        <f>D19-D27</f>
        <v>2668463.4308</v>
      </c>
      <c r="E35" s="8">
        <f>E19-E27</f>
        <v>4895778</v>
      </c>
      <c r="F35" s="9">
        <f t="shared" si="0"/>
        <v>0.6146432366540939</v>
      </c>
    </row>
    <row r="36" spans="1:6" s="1" customFormat="1" ht="15">
      <c r="A36" s="6" t="s">
        <v>53</v>
      </c>
      <c r="B36" s="6" t="s">
        <v>54</v>
      </c>
      <c r="C36" s="11">
        <f>(C34-C35)/C8*100</f>
        <v>25.415909031975424</v>
      </c>
      <c r="D36" s="11">
        <f>(D34-D35)/D8*100</f>
        <v>35.91443978214507</v>
      </c>
      <c r="E36" s="11">
        <f>(E34-E35)/E8*100</f>
        <v>45.103389631145</v>
      </c>
      <c r="F36" s="9"/>
    </row>
    <row r="38" spans="1:6" ht="12.75">
      <c r="A38" t="s">
        <v>60</v>
      </c>
      <c r="F38" s="7">
        <v>6307744</v>
      </c>
    </row>
    <row r="39" spans="1:6" ht="12.75">
      <c r="A39" t="s">
        <v>55</v>
      </c>
      <c r="F39" s="7">
        <v>0</v>
      </c>
    </row>
    <row r="42" spans="1:2" ht="12.75">
      <c r="A42" s="35" t="s">
        <v>67</v>
      </c>
      <c r="B42" s="35"/>
    </row>
  </sheetData>
  <mergeCells count="3">
    <mergeCell ref="A1:F1"/>
    <mergeCell ref="A3:C3"/>
    <mergeCell ref="A42:B42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B13">
      <selection activeCell="B19" sqref="B19"/>
    </sheetView>
  </sheetViews>
  <sheetFormatPr defaultColWidth="9.140625" defaultRowHeight="12.75"/>
  <cols>
    <col min="1" max="1" width="4.57421875" style="0" customWidth="1"/>
    <col min="2" max="2" width="37.00390625" style="0" customWidth="1"/>
    <col min="3" max="3" width="12.7109375" style="0" customWidth="1"/>
    <col min="4" max="4" width="12.421875" style="0" customWidth="1"/>
    <col min="5" max="5" width="12.7109375" style="0" customWidth="1"/>
    <col min="6" max="6" width="12.28125" style="0" customWidth="1"/>
    <col min="7" max="8" width="12.421875" style="0" customWidth="1"/>
    <col min="9" max="9" width="12.140625" style="0" customWidth="1"/>
    <col min="10" max="10" width="12.28125" style="0" customWidth="1"/>
    <col min="11" max="11" width="12.421875" style="0" customWidth="1"/>
    <col min="12" max="12" width="12.28125" style="0" customWidth="1"/>
    <col min="13" max="13" width="12.140625" style="0" customWidth="1"/>
    <col min="14" max="14" width="13.00390625" style="0" customWidth="1"/>
  </cols>
  <sheetData>
    <row r="1" spans="1:13" ht="18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3" ht="14.25">
      <c r="A3" s="36" t="s">
        <v>66</v>
      </c>
      <c r="B3" s="36"/>
      <c r="C3" s="36"/>
    </row>
    <row r="5" spans="1:13" s="2" customFormat="1" ht="29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68</v>
      </c>
      <c r="G5" s="3" t="s">
        <v>69</v>
      </c>
      <c r="H5" s="3" t="s">
        <v>70</v>
      </c>
      <c r="I5" s="3" t="s">
        <v>71</v>
      </c>
      <c r="J5" s="3" t="s">
        <v>72</v>
      </c>
      <c r="K5" s="3" t="s">
        <v>73</v>
      </c>
      <c r="L5" s="3" t="s">
        <v>74</v>
      </c>
      <c r="M5" s="3" t="s">
        <v>75</v>
      </c>
    </row>
    <row r="6" spans="1:13" s="2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14.25">
      <c r="A7" s="4" t="s">
        <v>7</v>
      </c>
      <c r="B7" s="4" t="s">
        <v>8</v>
      </c>
      <c r="C7" s="8">
        <v>5828232</v>
      </c>
      <c r="D7" s="8">
        <v>11579025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s="1" customFormat="1" ht="18" customHeight="1">
      <c r="A8" s="6" t="s">
        <v>9</v>
      </c>
      <c r="B8" s="6" t="s">
        <v>57</v>
      </c>
      <c r="C8" s="10">
        <f aca="true" t="shared" si="0" ref="C8:M8">C9+C14+C15+C16+C17</f>
        <v>191702437</v>
      </c>
      <c r="D8" s="10">
        <f t="shared" si="0"/>
        <v>215770336</v>
      </c>
      <c r="E8" s="10">
        <f t="shared" si="0"/>
        <v>228191199.07999998</v>
      </c>
      <c r="F8" s="10">
        <f t="shared" si="0"/>
        <v>253481088.4524</v>
      </c>
      <c r="G8" s="10">
        <f t="shared" si="0"/>
        <v>268133904.09597203</v>
      </c>
      <c r="H8" s="10">
        <f t="shared" si="0"/>
        <v>257427261.21885118</v>
      </c>
      <c r="I8" s="10">
        <f t="shared" si="0"/>
        <v>244559732.05541673</v>
      </c>
      <c r="J8" s="10">
        <f t="shared" si="0"/>
        <v>247265301.02707925</v>
      </c>
      <c r="K8" s="10">
        <f t="shared" si="0"/>
        <v>254683260.0578916</v>
      </c>
      <c r="L8" s="10">
        <f t="shared" si="0"/>
        <v>262323757.85962838</v>
      </c>
      <c r="M8" s="10">
        <f t="shared" si="0"/>
        <v>270193470.59541726</v>
      </c>
    </row>
    <row r="9" spans="1:13" ht="14.25">
      <c r="A9" s="4" t="s">
        <v>10</v>
      </c>
      <c r="B9" s="4" t="s">
        <v>11</v>
      </c>
      <c r="C9" s="8">
        <f aca="true" t="shared" si="1" ref="C9:M9">SUM(C10:C13)</f>
        <v>100554220</v>
      </c>
      <c r="D9" s="8">
        <f t="shared" si="1"/>
        <v>111327446</v>
      </c>
      <c r="E9" s="8">
        <f t="shared" si="1"/>
        <v>115667269.38</v>
      </c>
      <c r="F9" s="8">
        <f t="shared" si="1"/>
        <v>119137287.4614</v>
      </c>
      <c r="G9" s="8">
        <f t="shared" si="1"/>
        <v>122711406.08524199</v>
      </c>
      <c r="H9" s="8">
        <f t="shared" si="1"/>
        <v>127392748.26779927</v>
      </c>
      <c r="I9" s="8">
        <f t="shared" si="1"/>
        <v>131214530.71583325</v>
      </c>
      <c r="J9" s="8">
        <f t="shared" si="1"/>
        <v>135150966.63730827</v>
      </c>
      <c r="K9" s="8">
        <f t="shared" si="1"/>
        <v>139205495.6364275</v>
      </c>
      <c r="L9" s="8">
        <f t="shared" si="1"/>
        <v>143381660.50552034</v>
      </c>
      <c r="M9" s="8">
        <f t="shared" si="1"/>
        <v>147683110.32068595</v>
      </c>
    </row>
    <row r="10" spans="1:13" ht="14.25">
      <c r="A10" s="4" t="s">
        <v>12</v>
      </c>
      <c r="B10" s="4" t="s">
        <v>13</v>
      </c>
      <c r="C10" s="8">
        <v>36847445</v>
      </c>
      <c r="D10" s="8">
        <f>36029773-43400</f>
        <v>35986373</v>
      </c>
      <c r="E10" s="8">
        <f>D10*103%+1000000</f>
        <v>38065964.19</v>
      </c>
      <c r="F10" s="8">
        <f>E10*103%</f>
        <v>39207943.1157</v>
      </c>
      <c r="G10" s="8">
        <f>F10*103%</f>
        <v>40384181.409171</v>
      </c>
      <c r="H10" s="8">
        <f>G10*103%+1000000</f>
        <v>42595706.85144613</v>
      </c>
      <c r="I10" s="8">
        <f>H10*103%</f>
        <v>43873578.05698951</v>
      </c>
      <c r="J10" s="8">
        <f>I10*103%</f>
        <v>45189785.3986992</v>
      </c>
      <c r="K10" s="8">
        <f>J10*103%</f>
        <v>46545478.96066018</v>
      </c>
      <c r="L10" s="8">
        <f>K10*103%</f>
        <v>47941843.329479985</v>
      </c>
      <c r="M10" s="8">
        <f>L10*103%</f>
        <v>49380098.629364386</v>
      </c>
    </row>
    <row r="11" spans="1:13" ht="14.25">
      <c r="A11" s="4"/>
      <c r="B11" s="4" t="s">
        <v>62</v>
      </c>
      <c r="C11" s="8">
        <v>10611976</v>
      </c>
      <c r="D11" s="8">
        <f>11192896+3050000</f>
        <v>14242896</v>
      </c>
      <c r="E11" s="8">
        <f aca="true" t="shared" si="2" ref="E11:F16">D11*103%</f>
        <v>14670182.88</v>
      </c>
      <c r="F11" s="8">
        <f t="shared" si="2"/>
        <v>15110288.366400002</v>
      </c>
      <c r="G11" s="8">
        <f aca="true" t="shared" si="3" ref="G11:L11">F11*103%</f>
        <v>15563597.017392002</v>
      </c>
      <c r="H11" s="8">
        <f t="shared" si="3"/>
        <v>16030504.927913763</v>
      </c>
      <c r="I11" s="8">
        <f t="shared" si="3"/>
        <v>16511420.075751176</v>
      </c>
      <c r="J11" s="8">
        <f t="shared" si="3"/>
        <v>17006762.67802371</v>
      </c>
      <c r="K11" s="8">
        <f t="shared" si="3"/>
        <v>17516965.55836442</v>
      </c>
      <c r="L11" s="8">
        <f t="shared" si="3"/>
        <v>18042474.525115356</v>
      </c>
      <c r="M11" s="8">
        <f aca="true" t="shared" si="4" ref="M11:M16">L11*103%</f>
        <v>18583748.760868818</v>
      </c>
    </row>
    <row r="12" spans="1:13" ht="14.25">
      <c r="A12" s="4"/>
      <c r="B12" s="4" t="s">
        <v>14</v>
      </c>
      <c r="C12" s="8">
        <v>44480575</v>
      </c>
      <c r="D12" s="8">
        <v>49088525</v>
      </c>
      <c r="E12" s="8">
        <f t="shared" si="2"/>
        <v>50561180.75</v>
      </c>
      <c r="F12" s="8">
        <f t="shared" si="2"/>
        <v>52078016.1725</v>
      </c>
      <c r="G12" s="8">
        <f aca="true" t="shared" si="5" ref="G12:L12">F12*103%</f>
        <v>53640356.657675</v>
      </c>
      <c r="H12" s="8">
        <f t="shared" si="5"/>
        <v>55249567.35740525</v>
      </c>
      <c r="I12" s="8">
        <f t="shared" si="5"/>
        <v>56907054.37812741</v>
      </c>
      <c r="J12" s="8">
        <f t="shared" si="5"/>
        <v>58614266.00947124</v>
      </c>
      <c r="K12" s="8">
        <f t="shared" si="5"/>
        <v>60372693.98975538</v>
      </c>
      <c r="L12" s="8">
        <f t="shared" si="5"/>
        <v>62183874.80944804</v>
      </c>
      <c r="M12" s="8">
        <f t="shared" si="4"/>
        <v>64049391.053731486</v>
      </c>
    </row>
    <row r="13" spans="1:13" ht="14.25">
      <c r="A13" s="4"/>
      <c r="B13" s="4" t="s">
        <v>15</v>
      </c>
      <c r="C13" s="8">
        <f>8134298+479926</f>
        <v>8614224</v>
      </c>
      <c r="D13" s="8">
        <f>11723652+286000</f>
        <v>12009652</v>
      </c>
      <c r="E13" s="8">
        <f t="shared" si="2"/>
        <v>12369941.56</v>
      </c>
      <c r="F13" s="8">
        <f t="shared" si="2"/>
        <v>12741039.8068</v>
      </c>
      <c r="G13" s="8">
        <f aca="true" t="shared" si="6" ref="G13:L13">F13*103%</f>
        <v>13123271.001004001</v>
      </c>
      <c r="H13" s="8">
        <f t="shared" si="6"/>
        <v>13516969.13103412</v>
      </c>
      <c r="I13" s="8">
        <f t="shared" si="6"/>
        <v>13922478.204965144</v>
      </c>
      <c r="J13" s="8">
        <f t="shared" si="6"/>
        <v>14340152.5511141</v>
      </c>
      <c r="K13" s="8">
        <f t="shared" si="6"/>
        <v>14770357.127647523</v>
      </c>
      <c r="L13" s="8">
        <f t="shared" si="6"/>
        <v>15213467.841476949</v>
      </c>
      <c r="M13" s="8">
        <f t="shared" si="4"/>
        <v>15669871.876721257</v>
      </c>
    </row>
    <row r="14" spans="1:13" ht="14.25">
      <c r="A14" s="4" t="s">
        <v>16</v>
      </c>
      <c r="B14" s="4" t="s">
        <v>17</v>
      </c>
      <c r="C14" s="8">
        <v>59832153</v>
      </c>
      <c r="D14" s="8">
        <v>60435593</v>
      </c>
      <c r="E14" s="8">
        <f t="shared" si="2"/>
        <v>62248660.79</v>
      </c>
      <c r="F14" s="8">
        <f t="shared" si="2"/>
        <v>64116120.6137</v>
      </c>
      <c r="G14" s="8">
        <f aca="true" t="shared" si="7" ref="G14:L14">F14*103%</f>
        <v>66039604.23211101</v>
      </c>
      <c r="H14" s="8">
        <f t="shared" si="7"/>
        <v>68020792.35907434</v>
      </c>
      <c r="I14" s="8">
        <f t="shared" si="7"/>
        <v>70061416.12984657</v>
      </c>
      <c r="J14" s="8">
        <f t="shared" si="7"/>
        <v>72163258.61374198</v>
      </c>
      <c r="K14" s="8">
        <f t="shared" si="7"/>
        <v>74328156.37215424</v>
      </c>
      <c r="L14" s="8">
        <f t="shared" si="7"/>
        <v>76558001.06331886</v>
      </c>
      <c r="M14" s="8">
        <f t="shared" si="4"/>
        <v>78854741.09521843</v>
      </c>
    </row>
    <row r="15" spans="1:13" ht="14.25">
      <c r="A15" s="4" t="s">
        <v>18</v>
      </c>
      <c r="B15" s="4" t="s">
        <v>19</v>
      </c>
      <c r="C15" s="8">
        <v>23692438</v>
      </c>
      <c r="D15" s="8">
        <f>27408278+100000</f>
        <v>27508278</v>
      </c>
      <c r="E15" s="8">
        <f t="shared" si="2"/>
        <v>28333526.34</v>
      </c>
      <c r="F15" s="8">
        <f t="shared" si="2"/>
        <v>29183532.130200002</v>
      </c>
      <c r="G15" s="8">
        <f aca="true" t="shared" si="8" ref="G15:L15">F15*103%</f>
        <v>30059038.094106004</v>
      </c>
      <c r="H15" s="8">
        <f t="shared" si="8"/>
        <v>30960809.236929186</v>
      </c>
      <c r="I15" s="8">
        <f t="shared" si="8"/>
        <v>31889633.51403706</v>
      </c>
      <c r="J15" s="8">
        <f t="shared" si="8"/>
        <v>32846322.519458175</v>
      </c>
      <c r="K15" s="8">
        <f t="shared" si="8"/>
        <v>33831712.19504192</v>
      </c>
      <c r="L15" s="8">
        <f t="shared" si="8"/>
        <v>34846663.56089318</v>
      </c>
      <c r="M15" s="8">
        <f t="shared" si="4"/>
        <v>35892063.46771997</v>
      </c>
    </row>
    <row r="16" spans="1:13" ht="14.25">
      <c r="A16" s="4" t="s">
        <v>20</v>
      </c>
      <c r="B16" s="4" t="s">
        <v>21</v>
      </c>
      <c r="C16" s="8">
        <v>7318394</v>
      </c>
      <c r="D16" s="8">
        <f>5056967+803152+90000</f>
        <v>5950119</v>
      </c>
      <c r="E16" s="8">
        <f t="shared" si="2"/>
        <v>6128622.57</v>
      </c>
      <c r="F16" s="8">
        <f t="shared" si="2"/>
        <v>6312481.2471</v>
      </c>
      <c r="G16" s="8">
        <f aca="true" t="shared" si="9" ref="G16:L16">F16*103%</f>
        <v>6501855.684513001</v>
      </c>
      <c r="H16" s="8">
        <f t="shared" si="9"/>
        <v>6696911.355048391</v>
      </c>
      <c r="I16" s="8">
        <f t="shared" si="9"/>
        <v>6897818.695699843</v>
      </c>
      <c r="J16" s="8">
        <f t="shared" si="9"/>
        <v>7104753.256570838</v>
      </c>
      <c r="K16" s="8">
        <f t="shared" si="9"/>
        <v>7317895.854267964</v>
      </c>
      <c r="L16" s="8">
        <f t="shared" si="9"/>
        <v>7537432.729896003</v>
      </c>
      <c r="M16" s="8">
        <f t="shared" si="4"/>
        <v>7763555.711792883</v>
      </c>
    </row>
    <row r="17" spans="1:13" ht="14.25">
      <c r="A17" s="4" t="s">
        <v>22</v>
      </c>
      <c r="B17" s="4" t="s">
        <v>23</v>
      </c>
      <c r="C17" s="8">
        <v>305232</v>
      </c>
      <c r="D17" s="8">
        <v>10548900</v>
      </c>
      <c r="E17" s="8">
        <v>15813120</v>
      </c>
      <c r="F17" s="8">
        <v>34731667</v>
      </c>
      <c r="G17" s="8">
        <v>42822000</v>
      </c>
      <c r="H17" s="8">
        <v>24356000</v>
      </c>
      <c r="I17" s="8">
        <v>4496333</v>
      </c>
      <c r="J17" s="8">
        <v>0</v>
      </c>
      <c r="K17" s="8">
        <v>0</v>
      </c>
      <c r="L17" s="8">
        <v>0</v>
      </c>
      <c r="M17" s="8">
        <v>0</v>
      </c>
    </row>
    <row r="18" spans="1:14" s="1" customFormat="1" ht="15">
      <c r="A18" s="6" t="s">
        <v>24</v>
      </c>
      <c r="B18" s="6" t="s">
        <v>25</v>
      </c>
      <c r="C18" s="10">
        <v>31278800</v>
      </c>
      <c r="D18" s="10">
        <v>40979000</v>
      </c>
      <c r="E18" s="10">
        <v>56862814</v>
      </c>
      <c r="F18" s="10">
        <v>57701495</v>
      </c>
      <c r="G18" s="10">
        <v>58658567</v>
      </c>
      <c r="H18" s="10">
        <v>7327004</v>
      </c>
      <c r="I18" s="10">
        <v>1942041</v>
      </c>
      <c r="J18" s="10">
        <v>5701525</v>
      </c>
      <c r="K18" s="10">
        <v>10292571</v>
      </c>
      <c r="L18" s="10">
        <v>13706348</v>
      </c>
      <c r="M18" s="10">
        <v>9437539</v>
      </c>
      <c r="N18" s="12">
        <f>SUM(C18:M18)</f>
        <v>293887704</v>
      </c>
    </row>
    <row r="19" spans="1:14" ht="63.75">
      <c r="A19" s="4" t="s">
        <v>26</v>
      </c>
      <c r="B19" s="5" t="s">
        <v>63</v>
      </c>
      <c r="C19" s="8">
        <f>1338309+301844</f>
        <v>1640153</v>
      </c>
      <c r="D19" s="8">
        <v>4409000</v>
      </c>
      <c r="E19" s="8">
        <v>10420000</v>
      </c>
      <c r="F19" s="8">
        <v>20880000</v>
      </c>
      <c r="G19" s="8">
        <v>21867000</v>
      </c>
      <c r="H19" s="8">
        <v>3652000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SUM(C19:H19)</f>
        <v>62868153</v>
      </c>
    </row>
    <row r="20" spans="1:13" s="1" customFormat="1" ht="15">
      <c r="A20" s="6" t="s">
        <v>27</v>
      </c>
      <c r="B20" s="6" t="s">
        <v>28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14.25">
      <c r="A21" s="4" t="s">
        <v>29</v>
      </c>
      <c r="B21" s="4" t="s">
        <v>61</v>
      </c>
      <c r="C21" s="8">
        <f aca="true" t="shared" si="10" ref="C21:M21">C7+C8+C18+C20</f>
        <v>228809469</v>
      </c>
      <c r="D21" s="8">
        <f t="shared" si="10"/>
        <v>268328361</v>
      </c>
      <c r="E21" s="8">
        <f t="shared" si="10"/>
        <v>285054013.08</v>
      </c>
      <c r="F21" s="8">
        <f t="shared" si="10"/>
        <v>311182583.45239997</v>
      </c>
      <c r="G21" s="8">
        <f t="shared" si="10"/>
        <v>326792471.09597206</v>
      </c>
      <c r="H21" s="8">
        <f t="shared" si="10"/>
        <v>264754265.21885118</v>
      </c>
      <c r="I21" s="8">
        <f t="shared" si="10"/>
        <v>246501773.05541673</v>
      </c>
      <c r="J21" s="8">
        <f t="shared" si="10"/>
        <v>252966826.02707925</v>
      </c>
      <c r="K21" s="8">
        <f t="shared" si="10"/>
        <v>264975831.0578916</v>
      </c>
      <c r="L21" s="8">
        <f t="shared" si="10"/>
        <v>276030105.8596284</v>
      </c>
      <c r="M21" s="8">
        <f t="shared" si="10"/>
        <v>279631009.59541726</v>
      </c>
    </row>
    <row r="22" spans="1:13" s="1" customFormat="1" ht="18" customHeight="1">
      <c r="A22" s="6" t="s">
        <v>30</v>
      </c>
      <c r="B22" s="6" t="s">
        <v>56</v>
      </c>
      <c r="C22" s="10">
        <f>SUM(C23:C25)</f>
        <v>209078444</v>
      </c>
      <c r="D22" s="10">
        <f>SUM(D23:D25)</f>
        <v>254287258</v>
      </c>
      <c r="E22" s="10">
        <f aca="true" t="shared" si="11" ref="E22:M22">SUM(E23:E25)</f>
        <v>263054013</v>
      </c>
      <c r="F22" s="10">
        <f t="shared" si="11"/>
        <v>295182583</v>
      </c>
      <c r="G22" s="10">
        <f t="shared" si="11"/>
        <v>296792471</v>
      </c>
      <c r="H22" s="10">
        <f t="shared" si="11"/>
        <v>244754265.13</v>
      </c>
      <c r="I22" s="10">
        <f t="shared" si="11"/>
        <v>236501773.0839</v>
      </c>
      <c r="J22" s="10">
        <f t="shared" si="11"/>
        <v>240966826.27641702</v>
      </c>
      <c r="K22" s="10">
        <f t="shared" si="11"/>
        <v>244975831.06470954</v>
      </c>
      <c r="L22" s="10">
        <f t="shared" si="11"/>
        <v>251030105.99665084</v>
      </c>
      <c r="M22" s="10">
        <f t="shared" si="11"/>
        <v>254631009.1765504</v>
      </c>
    </row>
    <row r="23" spans="1:13" ht="14.25">
      <c r="A23" s="4" t="s">
        <v>31</v>
      </c>
      <c r="B23" s="4" t="s">
        <v>32</v>
      </c>
      <c r="C23" s="8">
        <f>175955428-C25</f>
        <v>174435873</v>
      </c>
      <c r="D23" s="8">
        <f>200989333-3520000</f>
        <v>197469333</v>
      </c>
      <c r="E23" s="8">
        <f>207019013-5300000</f>
        <v>201719013</v>
      </c>
      <c r="F23" s="8">
        <f>213229583-5000000</f>
        <v>208229583</v>
      </c>
      <c r="G23" s="8">
        <f>219626471-5500000</f>
        <v>214126471</v>
      </c>
      <c r="H23" s="8">
        <f>G23*103%-5500000</f>
        <v>215050265.13</v>
      </c>
      <c r="I23" s="8">
        <f>H23*103%-6000000</f>
        <v>215501773.0839</v>
      </c>
      <c r="J23" s="8">
        <f>I23*103%-5000000</f>
        <v>216966826.27641702</v>
      </c>
      <c r="K23" s="8">
        <f>J23*103%-5000000</f>
        <v>218475831.06470954</v>
      </c>
      <c r="L23" s="8">
        <f>K23*103%-5000000</f>
        <v>220030105.99665084</v>
      </c>
      <c r="M23" s="8">
        <f>L23*103%-5000000</f>
        <v>221631009.1765504</v>
      </c>
    </row>
    <row r="24" spans="1:13" ht="14.25">
      <c r="A24" s="4" t="s">
        <v>33</v>
      </c>
      <c r="B24" s="4" t="s">
        <v>65</v>
      </c>
      <c r="C24" s="8">
        <v>33123016</v>
      </c>
      <c r="D24" s="8">
        <v>53297925</v>
      </c>
      <c r="E24" s="8">
        <v>56035000</v>
      </c>
      <c r="F24" s="8">
        <v>81953000</v>
      </c>
      <c r="G24" s="8">
        <v>77166000</v>
      </c>
      <c r="H24" s="8">
        <v>24204000</v>
      </c>
      <c r="I24" s="8">
        <v>15000000</v>
      </c>
      <c r="J24" s="8">
        <v>17000000</v>
      </c>
      <c r="K24" s="8">
        <v>20000000</v>
      </c>
      <c r="L24" s="8">
        <v>25000000</v>
      </c>
      <c r="M24" s="8">
        <v>28000000</v>
      </c>
    </row>
    <row r="25" spans="1:13" ht="14.25">
      <c r="A25" s="4" t="s">
        <v>34</v>
      </c>
      <c r="B25" s="4" t="s">
        <v>35</v>
      </c>
      <c r="C25" s="8">
        <v>1519555</v>
      </c>
      <c r="D25" s="8">
        <v>3520000</v>
      </c>
      <c r="E25" s="8">
        <v>5300000</v>
      </c>
      <c r="F25" s="8">
        <v>5000000</v>
      </c>
      <c r="G25" s="8">
        <v>5500000</v>
      </c>
      <c r="H25" s="8">
        <v>5500000</v>
      </c>
      <c r="I25" s="8">
        <v>6000000</v>
      </c>
      <c r="J25" s="8">
        <v>7000000</v>
      </c>
      <c r="K25" s="8">
        <v>6500000</v>
      </c>
      <c r="L25" s="8">
        <v>6000000</v>
      </c>
      <c r="M25" s="8">
        <v>5000000</v>
      </c>
    </row>
    <row r="26" spans="1:14" s="1" customFormat="1" ht="15">
      <c r="A26" s="6" t="s">
        <v>36</v>
      </c>
      <c r="B26" s="6" t="s">
        <v>38</v>
      </c>
      <c r="C26" s="10">
        <v>8152000</v>
      </c>
      <c r="D26" s="10">
        <v>14041103</v>
      </c>
      <c r="E26" s="10">
        <v>22000000</v>
      </c>
      <c r="F26" s="10">
        <v>16000000</v>
      </c>
      <c r="G26" s="10">
        <v>30000000</v>
      </c>
      <c r="H26" s="10">
        <v>20000000</v>
      </c>
      <c r="I26" s="10">
        <v>10000000</v>
      </c>
      <c r="J26" s="10">
        <v>12000000</v>
      </c>
      <c r="K26" s="10">
        <v>20000000</v>
      </c>
      <c r="L26" s="10">
        <v>25000000</v>
      </c>
      <c r="M26" s="10">
        <v>25000000</v>
      </c>
      <c r="N26" s="12">
        <f>SUM(C26:M26)</f>
        <v>202193103</v>
      </c>
    </row>
    <row r="27" spans="1:14" ht="65.25" customHeight="1">
      <c r="A27" s="4" t="s">
        <v>37</v>
      </c>
      <c r="B27" s="5" t="s">
        <v>58</v>
      </c>
      <c r="C27" s="8">
        <v>0</v>
      </c>
      <c r="D27" s="8">
        <v>380537</v>
      </c>
      <c r="E27" s="8">
        <v>3000000</v>
      </c>
      <c r="F27" s="8">
        <v>8000000</v>
      </c>
      <c r="G27" s="8">
        <v>20000000</v>
      </c>
      <c r="H27" s="8">
        <v>13000000</v>
      </c>
      <c r="I27" s="8">
        <v>3000000</v>
      </c>
      <c r="J27" s="8">
        <v>7000000</v>
      </c>
      <c r="K27" s="8">
        <v>7000000</v>
      </c>
      <c r="L27" s="8">
        <v>1487616</v>
      </c>
      <c r="M27" s="8">
        <v>0</v>
      </c>
      <c r="N27" s="7">
        <f>SUM(C27:M27)</f>
        <v>62868153</v>
      </c>
    </row>
    <row r="28" spans="1:13" s="1" customFormat="1" ht="15">
      <c r="A28" s="6" t="s">
        <v>39</v>
      </c>
      <c r="B28" s="6" t="s">
        <v>59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14.25">
      <c r="A29" s="4" t="s">
        <v>40</v>
      </c>
      <c r="B29" s="4" t="s">
        <v>41</v>
      </c>
      <c r="C29" s="8">
        <f aca="true" t="shared" si="12" ref="C29:M29">C22+C26+C28</f>
        <v>217230444</v>
      </c>
      <c r="D29" s="8">
        <f t="shared" si="12"/>
        <v>268328361</v>
      </c>
      <c r="E29" s="8">
        <f t="shared" si="12"/>
        <v>285054013</v>
      </c>
      <c r="F29" s="8">
        <f t="shared" si="12"/>
        <v>311182583</v>
      </c>
      <c r="G29" s="8">
        <f t="shared" si="12"/>
        <v>326792471</v>
      </c>
      <c r="H29" s="8">
        <f t="shared" si="12"/>
        <v>264754265.13</v>
      </c>
      <c r="I29" s="8">
        <f t="shared" si="12"/>
        <v>246501773.0839</v>
      </c>
      <c r="J29" s="8">
        <f t="shared" si="12"/>
        <v>252966826.27641702</v>
      </c>
      <c r="K29" s="8">
        <f t="shared" si="12"/>
        <v>264975831.06470954</v>
      </c>
      <c r="L29" s="8">
        <f t="shared" si="12"/>
        <v>276030105.9966508</v>
      </c>
      <c r="M29" s="8">
        <f t="shared" si="12"/>
        <v>279631009.1765504</v>
      </c>
    </row>
    <row r="30" spans="1:14" ht="25.5">
      <c r="A30" s="4" t="s">
        <v>42</v>
      </c>
      <c r="B30" s="5" t="s">
        <v>43</v>
      </c>
      <c r="C30" s="8">
        <f aca="true" t="shared" si="13" ref="C30:M30">C21-C29</f>
        <v>11579025</v>
      </c>
      <c r="D30" s="8">
        <f t="shared" si="13"/>
        <v>0</v>
      </c>
      <c r="E30" s="8">
        <f t="shared" si="13"/>
        <v>0.07999998331069946</v>
      </c>
      <c r="F30" s="8">
        <f t="shared" si="13"/>
        <v>0.45239996910095215</v>
      </c>
      <c r="G30" s="8">
        <f t="shared" si="13"/>
        <v>0.09597206115722656</v>
      </c>
      <c r="H30" s="8">
        <f t="shared" si="13"/>
        <v>0.08885118365287781</v>
      </c>
      <c r="I30" s="8">
        <f t="shared" si="13"/>
        <v>-0.028483271598815918</v>
      </c>
      <c r="J30" s="8">
        <f t="shared" si="13"/>
        <v>-0.24933776259422302</v>
      </c>
      <c r="K30" s="8">
        <f t="shared" si="13"/>
        <v>-0.006817936897277832</v>
      </c>
      <c r="L30" s="8">
        <f t="shared" si="13"/>
        <v>-0.13702243566513062</v>
      </c>
      <c r="M30" s="8">
        <f t="shared" si="13"/>
        <v>0.4188668727874756</v>
      </c>
      <c r="N30" s="7"/>
    </row>
    <row r="31" spans="1:13" ht="14.25">
      <c r="A31" s="4" t="s">
        <v>44</v>
      </c>
      <c r="B31" s="4" t="s">
        <v>45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14.25">
      <c r="A32" s="4" t="s">
        <v>46</v>
      </c>
      <c r="B32" s="4" t="s">
        <v>47</v>
      </c>
      <c r="C32" s="8">
        <f aca="true" t="shared" si="14" ref="C32:M32">C25+C26-C27+C31</f>
        <v>9671555</v>
      </c>
      <c r="D32" s="8">
        <f t="shared" si="14"/>
        <v>17180566</v>
      </c>
      <c r="E32" s="8">
        <f t="shared" si="14"/>
        <v>24300000</v>
      </c>
      <c r="F32" s="8">
        <f t="shared" si="14"/>
        <v>13000000</v>
      </c>
      <c r="G32" s="8">
        <f t="shared" si="14"/>
        <v>15500000</v>
      </c>
      <c r="H32" s="8">
        <f t="shared" si="14"/>
        <v>12500000</v>
      </c>
      <c r="I32" s="8">
        <f t="shared" si="14"/>
        <v>13000000</v>
      </c>
      <c r="J32" s="8">
        <f t="shared" si="14"/>
        <v>12000000</v>
      </c>
      <c r="K32" s="8">
        <f t="shared" si="14"/>
        <v>19500000</v>
      </c>
      <c r="L32" s="8">
        <f t="shared" si="14"/>
        <v>29512384</v>
      </c>
      <c r="M32" s="8">
        <f t="shared" si="14"/>
        <v>30000000</v>
      </c>
    </row>
    <row r="33" spans="1:13" s="1" customFormat="1" ht="15">
      <c r="A33" s="6" t="s">
        <v>48</v>
      </c>
      <c r="B33" s="6" t="s">
        <v>49</v>
      </c>
      <c r="C33" s="11">
        <f aca="true" t="shared" si="15" ref="C33:M33">C32/C8*100</f>
        <v>5.045087142006442</v>
      </c>
      <c r="D33" s="11">
        <f t="shared" si="15"/>
        <v>7.962431870152901</v>
      </c>
      <c r="E33" s="11">
        <f>E32/E8*100</f>
        <v>10.648964595466643</v>
      </c>
      <c r="F33" s="11">
        <f t="shared" si="15"/>
        <v>5.1285877299052265</v>
      </c>
      <c r="G33" s="11">
        <f t="shared" si="15"/>
        <v>5.7806938112728</v>
      </c>
      <c r="H33" s="11">
        <f t="shared" si="15"/>
        <v>4.855740585055269</v>
      </c>
      <c r="I33" s="11">
        <f t="shared" si="15"/>
        <v>5.315674780447595</v>
      </c>
      <c r="J33" s="11">
        <f t="shared" si="15"/>
        <v>4.8530869273427975</v>
      </c>
      <c r="K33" s="11">
        <f t="shared" si="15"/>
        <v>7.656569181487424</v>
      </c>
      <c r="L33" s="11">
        <f t="shared" si="15"/>
        <v>11.250366432990916</v>
      </c>
      <c r="M33" s="11">
        <f t="shared" si="15"/>
        <v>11.103155059184035</v>
      </c>
    </row>
    <row r="34" spans="1:13" s="1" customFormat="1" ht="15">
      <c r="A34" s="6" t="s">
        <v>50</v>
      </c>
      <c r="B34" s="6" t="s">
        <v>51</v>
      </c>
      <c r="C34" s="10">
        <v>50363070</v>
      </c>
      <c r="D34" s="10">
        <f>C34+D18-D26</f>
        <v>77300967</v>
      </c>
      <c r="E34" s="10">
        <f aca="true" t="shared" si="16" ref="E34:M34">D34+E18-E26</f>
        <v>112163781</v>
      </c>
      <c r="F34" s="10">
        <f t="shared" si="16"/>
        <v>153865276</v>
      </c>
      <c r="G34" s="10">
        <f t="shared" si="16"/>
        <v>182523843</v>
      </c>
      <c r="H34" s="10">
        <f t="shared" si="16"/>
        <v>169850847</v>
      </c>
      <c r="I34" s="10">
        <f t="shared" si="16"/>
        <v>161792888</v>
      </c>
      <c r="J34" s="10">
        <f t="shared" si="16"/>
        <v>155494413</v>
      </c>
      <c r="K34" s="10">
        <f t="shared" si="16"/>
        <v>145786984</v>
      </c>
      <c r="L34" s="10">
        <f t="shared" si="16"/>
        <v>134493332</v>
      </c>
      <c r="M34" s="10">
        <f t="shared" si="16"/>
        <v>118930871</v>
      </c>
    </row>
    <row r="35" spans="1:13" ht="63.75">
      <c r="A35" s="4" t="s">
        <v>52</v>
      </c>
      <c r="B35" s="5" t="s">
        <v>64</v>
      </c>
      <c r="C35" s="8">
        <f>C19-C27</f>
        <v>1640153</v>
      </c>
      <c r="D35" s="8">
        <f>C35+D19-D27</f>
        <v>5668616</v>
      </c>
      <c r="E35" s="8">
        <f aca="true" t="shared" si="17" ref="E35:M35">D35+E19-E27</f>
        <v>13088616</v>
      </c>
      <c r="F35" s="8">
        <f t="shared" si="17"/>
        <v>25968616</v>
      </c>
      <c r="G35" s="8">
        <f t="shared" si="17"/>
        <v>27835616</v>
      </c>
      <c r="H35" s="8">
        <f t="shared" si="17"/>
        <v>18487616</v>
      </c>
      <c r="I35" s="8">
        <f t="shared" si="17"/>
        <v>15487616</v>
      </c>
      <c r="J35" s="8">
        <f t="shared" si="17"/>
        <v>8487616</v>
      </c>
      <c r="K35" s="8">
        <f t="shared" si="17"/>
        <v>1487616</v>
      </c>
      <c r="L35" s="8">
        <f t="shared" si="17"/>
        <v>0</v>
      </c>
      <c r="M35" s="8">
        <f t="shared" si="17"/>
        <v>0</v>
      </c>
    </row>
    <row r="36" spans="1:13" s="1" customFormat="1" ht="15">
      <c r="A36" s="6" t="s">
        <v>53</v>
      </c>
      <c r="B36" s="6" t="s">
        <v>54</v>
      </c>
      <c r="C36" s="11">
        <f>(C34-C35)/C8*100</f>
        <v>25.415909031975424</v>
      </c>
      <c r="D36" s="11">
        <f>(D34-D35)/D8*100</f>
        <v>33.19842399466811</v>
      </c>
      <c r="E36" s="11">
        <f aca="true" t="shared" si="18" ref="E36:M36">(E34-E35)/E8*100</f>
        <v>43.41761005658501</v>
      </c>
      <c r="F36" s="11">
        <f t="shared" si="18"/>
        <v>50.4560954747585</v>
      </c>
      <c r="G36" s="11">
        <f t="shared" si="18"/>
        <v>57.69066299972013</v>
      </c>
      <c r="H36" s="11">
        <f t="shared" si="18"/>
        <v>58.79844670814367</v>
      </c>
      <c r="I36" s="11">
        <f t="shared" si="18"/>
        <v>59.823941893609664</v>
      </c>
      <c r="J36" s="11">
        <f t="shared" si="18"/>
        <v>59.45306372926971</v>
      </c>
      <c r="K36" s="11">
        <f t="shared" si="18"/>
        <v>56.658363791636546</v>
      </c>
      <c r="L36" s="11">
        <f t="shared" si="18"/>
        <v>51.26997764036626</v>
      </c>
      <c r="M36" s="11">
        <f t="shared" si="18"/>
        <v>44.016930067893796</v>
      </c>
    </row>
    <row r="38" spans="1:6" ht="12.75">
      <c r="A38" t="s">
        <v>60</v>
      </c>
      <c r="F38" s="7">
        <v>6307744</v>
      </c>
    </row>
    <row r="39" spans="1:6" ht="12.75">
      <c r="A39" t="s">
        <v>55</v>
      </c>
      <c r="F39" s="7">
        <v>0</v>
      </c>
    </row>
    <row r="42" spans="1:2" ht="12.75">
      <c r="A42" s="35" t="s">
        <v>76</v>
      </c>
      <c r="B42" s="35"/>
    </row>
  </sheetData>
  <mergeCells count="3">
    <mergeCell ref="A3:C3"/>
    <mergeCell ref="A42:B42"/>
    <mergeCell ref="A1:M1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4">
      <selection activeCell="H8" sqref="H8"/>
    </sheetView>
  </sheetViews>
  <sheetFormatPr defaultColWidth="9.140625" defaultRowHeight="12.75"/>
  <cols>
    <col min="1" max="1" width="2.8515625" style="0" customWidth="1"/>
    <col min="2" max="2" width="39.7109375" style="0" customWidth="1"/>
    <col min="3" max="4" width="11.00390625" style="0" customWidth="1"/>
    <col min="5" max="8" width="10.8515625" style="0" customWidth="1"/>
    <col min="12" max="12" width="11.140625" style="0" bestFit="1" customWidth="1"/>
  </cols>
  <sheetData>
    <row r="1" ht="45.75" customHeight="1"/>
    <row r="2" spans="1:3" ht="45.75" customHeight="1">
      <c r="A2" s="33" t="s">
        <v>103</v>
      </c>
      <c r="B2" s="33"/>
      <c r="C2" s="33"/>
    </row>
    <row r="3" ht="33" customHeight="1"/>
    <row r="4" spans="1:8" s="1" customFormat="1" ht="26.25" customHeight="1">
      <c r="A4" s="14">
        <v>1</v>
      </c>
      <c r="B4" s="19" t="s">
        <v>100</v>
      </c>
      <c r="C4" s="38" t="s">
        <v>101</v>
      </c>
      <c r="D4" s="38"/>
      <c r="E4" s="38"/>
      <c r="F4" s="38"/>
      <c r="G4" s="38"/>
      <c r="H4" s="38"/>
    </row>
    <row r="5" spans="1:8" s="1" customFormat="1" ht="15.75" customHeight="1">
      <c r="A5" s="14">
        <v>2</v>
      </c>
      <c r="B5" s="20" t="s">
        <v>78</v>
      </c>
      <c r="C5" s="14">
        <v>2005</v>
      </c>
      <c r="D5" s="14">
        <v>2006</v>
      </c>
      <c r="E5" s="14">
        <v>2007</v>
      </c>
      <c r="F5" s="14">
        <v>2008</v>
      </c>
      <c r="G5" s="14">
        <v>2009</v>
      </c>
      <c r="H5" s="14">
        <v>2010</v>
      </c>
    </row>
    <row r="6" spans="1:8" s="1" customFormat="1" ht="18.75" customHeight="1">
      <c r="A6" s="14">
        <v>3</v>
      </c>
      <c r="B6" s="20" t="s">
        <v>79</v>
      </c>
      <c r="C6" s="15">
        <f aca="true" t="shared" si="0" ref="C6:H6">SUM(C7:C11)</f>
        <v>191702437</v>
      </c>
      <c r="D6" s="15">
        <f t="shared" si="0"/>
        <v>216548728</v>
      </c>
      <c r="E6" s="15">
        <f t="shared" si="0"/>
        <v>229572956.77</v>
      </c>
      <c r="F6" s="15">
        <f t="shared" si="0"/>
        <v>246006482.8831</v>
      </c>
      <c r="G6" s="15">
        <f t="shared" si="0"/>
        <v>263342763.349593</v>
      </c>
      <c r="H6" s="15">
        <f t="shared" si="0"/>
        <v>249194499.25008082</v>
      </c>
    </row>
    <row r="7" spans="1:8" ht="15.75" customHeight="1">
      <c r="A7" s="18">
        <v>4</v>
      </c>
      <c r="B7" s="21" t="s">
        <v>80</v>
      </c>
      <c r="C7" s="16">
        <f>100554220-44480575</f>
        <v>56073645</v>
      </c>
      <c r="D7" s="16">
        <v>59860172</v>
      </c>
      <c r="E7" s="16">
        <f>115667269-50561181</f>
        <v>65106088</v>
      </c>
      <c r="F7" s="16">
        <f aca="true" t="shared" si="1" ref="F7:H9">E7*103%</f>
        <v>67059270.64</v>
      </c>
      <c r="G7" s="16">
        <f t="shared" si="1"/>
        <v>69071048.7592</v>
      </c>
      <c r="H7" s="16">
        <f t="shared" si="1"/>
        <v>71143180.22197601</v>
      </c>
    </row>
    <row r="8" spans="1:8" ht="15.75" customHeight="1">
      <c r="A8" s="18">
        <v>5</v>
      </c>
      <c r="B8" s="21" t="s">
        <v>81</v>
      </c>
      <c r="C8" s="16">
        <v>44480575</v>
      </c>
      <c r="D8" s="16">
        <v>49088525</v>
      </c>
      <c r="E8" s="16">
        <v>50561181</v>
      </c>
      <c r="F8" s="16">
        <f t="shared" si="1"/>
        <v>52078016.43</v>
      </c>
      <c r="G8" s="16">
        <f t="shared" si="1"/>
        <v>53640356.9229</v>
      </c>
      <c r="H8" s="16">
        <f t="shared" si="1"/>
        <v>55249567.630587</v>
      </c>
    </row>
    <row r="9" spans="1:8" ht="15.75" customHeight="1">
      <c r="A9" s="18">
        <v>6</v>
      </c>
      <c r="B9" s="21" t="s">
        <v>82</v>
      </c>
      <c r="C9" s="16">
        <f>23692438+7318394</f>
        <v>31010832</v>
      </c>
      <c r="D9" s="16">
        <v>34010266</v>
      </c>
      <c r="E9" s="16">
        <f>D9*103%</f>
        <v>35030573.980000004</v>
      </c>
      <c r="F9" s="16">
        <f t="shared" si="1"/>
        <v>36081491.19940001</v>
      </c>
      <c r="G9" s="16">
        <f t="shared" si="1"/>
        <v>37163935.93538201</v>
      </c>
      <c r="H9" s="16">
        <f t="shared" si="1"/>
        <v>38278854.01344347</v>
      </c>
    </row>
    <row r="10" spans="1:8" ht="15.75" customHeight="1">
      <c r="A10" s="18">
        <v>7</v>
      </c>
      <c r="B10" s="21" t="s">
        <v>83</v>
      </c>
      <c r="C10" s="16">
        <v>305232</v>
      </c>
      <c r="D10" s="16">
        <v>10654172</v>
      </c>
      <c r="E10" s="16">
        <v>14051453</v>
      </c>
      <c r="F10" s="16">
        <v>24019334</v>
      </c>
      <c r="G10" s="16">
        <v>34696000</v>
      </c>
      <c r="H10" s="16">
        <v>13688333</v>
      </c>
    </row>
    <row r="11" spans="1:8" ht="15.75" customHeight="1">
      <c r="A11" s="18">
        <v>8</v>
      </c>
      <c r="B11" s="21" t="s">
        <v>84</v>
      </c>
      <c r="C11" s="16">
        <v>59832153</v>
      </c>
      <c r="D11" s="16">
        <v>62935593</v>
      </c>
      <c r="E11" s="16">
        <f>D11*103%</f>
        <v>64823660.79</v>
      </c>
      <c r="F11" s="16">
        <f>E11*103%</f>
        <v>66768370.6137</v>
      </c>
      <c r="G11" s="16">
        <f>F11*103%</f>
        <v>68771421.732111</v>
      </c>
      <c r="H11" s="16">
        <f>G11*103%</f>
        <v>70834564.38407435</v>
      </c>
    </row>
    <row r="12" spans="1:8" s="1" customFormat="1" ht="18.75" customHeight="1">
      <c r="A12" s="14">
        <v>9</v>
      </c>
      <c r="B12" s="20" t="s">
        <v>87</v>
      </c>
      <c r="C12" s="15">
        <f aca="true" t="shared" si="2" ref="C12:H12">SUM(C13:C14)</f>
        <v>174435872</v>
      </c>
      <c r="D12" s="15">
        <f t="shared" si="2"/>
        <v>196031703</v>
      </c>
      <c r="E12" s="15">
        <f t="shared" si="2"/>
        <v>200761250.87</v>
      </c>
      <c r="F12" s="15">
        <f t="shared" si="2"/>
        <v>205609657.1117</v>
      </c>
      <c r="G12" s="15">
        <f t="shared" si="2"/>
        <v>210580026.914963</v>
      </c>
      <c r="H12" s="15">
        <f t="shared" si="2"/>
        <v>215675549.41412216</v>
      </c>
    </row>
    <row r="13" spans="1:8" ht="15.75" customHeight="1">
      <c r="A13" s="18">
        <v>10</v>
      </c>
      <c r="B13" s="21" t="s">
        <v>85</v>
      </c>
      <c r="C13" s="16">
        <v>78114772</v>
      </c>
      <c r="D13" s="16">
        <v>80891381</v>
      </c>
      <c r="E13" s="16">
        <f>D13*103%</f>
        <v>83318122.43</v>
      </c>
      <c r="F13" s="16">
        <f>E13*103%</f>
        <v>85817666.10290001</v>
      </c>
      <c r="G13" s="16">
        <f>F13*103%</f>
        <v>88392196.08598702</v>
      </c>
      <c r="H13" s="16">
        <f>G13*103%</f>
        <v>91043961.96856663</v>
      </c>
    </row>
    <row r="14" spans="1:8" ht="15.75" customHeight="1">
      <c r="A14" s="18">
        <v>11</v>
      </c>
      <c r="B14" s="21" t="s">
        <v>86</v>
      </c>
      <c r="C14" s="16">
        <f>14595169+9814007+71911924</f>
        <v>96321100</v>
      </c>
      <c r="D14" s="16">
        <v>115140322</v>
      </c>
      <c r="E14" s="16">
        <f>D14*102%</f>
        <v>117443128.44</v>
      </c>
      <c r="F14" s="16">
        <f>E14*102%</f>
        <v>119791991.0088</v>
      </c>
      <c r="G14" s="16">
        <f>F14*102%</f>
        <v>122187830.828976</v>
      </c>
      <c r="H14" s="16">
        <f>G14*102%</f>
        <v>124631587.44555552</v>
      </c>
    </row>
    <row r="15" spans="1:12" s="1" customFormat="1" ht="15.75" customHeight="1">
      <c r="A15" s="14">
        <v>12</v>
      </c>
      <c r="B15" s="20" t="s">
        <v>88</v>
      </c>
      <c r="C15" s="15">
        <f aca="true" t="shared" si="3" ref="C15:H15">C6-C12</f>
        <v>17266565</v>
      </c>
      <c r="D15" s="15">
        <f t="shared" si="3"/>
        <v>20517025</v>
      </c>
      <c r="E15" s="15">
        <f t="shared" si="3"/>
        <v>28811705.900000006</v>
      </c>
      <c r="F15" s="15">
        <f t="shared" si="3"/>
        <v>40396825.771400005</v>
      </c>
      <c r="G15" s="15">
        <f t="shared" si="3"/>
        <v>52762736.43463001</v>
      </c>
      <c r="H15" s="15">
        <f t="shared" si="3"/>
        <v>33518949.83595866</v>
      </c>
      <c r="L15" s="12">
        <f>D12+D16+D19</f>
        <v>254289650</v>
      </c>
    </row>
    <row r="16" spans="1:8" ht="15.75" customHeight="1">
      <c r="A16" s="18">
        <v>13</v>
      </c>
      <c r="B16" s="21" t="s">
        <v>99</v>
      </c>
      <c r="C16" s="16">
        <v>33123016</v>
      </c>
      <c r="D16" s="16">
        <v>54737947</v>
      </c>
      <c r="E16" s="16">
        <v>45998000</v>
      </c>
      <c r="F16" s="16">
        <v>57553000</v>
      </c>
      <c r="G16" s="16">
        <v>70440000</v>
      </c>
      <c r="H16" s="16">
        <v>25000000</v>
      </c>
    </row>
    <row r="17" spans="1:8" ht="15.75" customHeight="1">
      <c r="A17" s="18">
        <v>14</v>
      </c>
      <c r="B17" s="21" t="s">
        <v>89</v>
      </c>
      <c r="C17" s="16">
        <f aca="true" t="shared" si="4" ref="C17:H17">SUM(C18:C19)</f>
        <v>9671556</v>
      </c>
      <c r="D17" s="16">
        <f t="shared" si="4"/>
        <v>17561103</v>
      </c>
      <c r="E17" s="16">
        <f t="shared" si="4"/>
        <v>27200000</v>
      </c>
      <c r="F17" s="16">
        <f t="shared" si="4"/>
        <v>22500000</v>
      </c>
      <c r="G17" s="16">
        <f t="shared" si="4"/>
        <v>38000000</v>
      </c>
      <c r="H17" s="16">
        <f t="shared" si="4"/>
        <v>27800000</v>
      </c>
    </row>
    <row r="18" spans="1:8" ht="15.75" customHeight="1">
      <c r="A18" s="18">
        <v>15</v>
      </c>
      <c r="B18" s="21" t="s">
        <v>97</v>
      </c>
      <c r="C18" s="16">
        <v>8152000</v>
      </c>
      <c r="D18" s="16">
        <v>14041103</v>
      </c>
      <c r="E18" s="16">
        <v>22000000</v>
      </c>
      <c r="F18" s="16">
        <v>16000000</v>
      </c>
      <c r="G18" s="16">
        <v>30000000</v>
      </c>
      <c r="H18" s="16">
        <v>20000000</v>
      </c>
    </row>
    <row r="19" spans="1:8" ht="15.75" customHeight="1">
      <c r="A19" s="18">
        <v>16</v>
      </c>
      <c r="B19" s="21" t="s">
        <v>90</v>
      </c>
      <c r="C19" s="16">
        <v>1519556</v>
      </c>
      <c r="D19" s="16">
        <v>3520000</v>
      </c>
      <c r="E19" s="16">
        <v>5200000</v>
      </c>
      <c r="F19" s="16">
        <v>6500000</v>
      </c>
      <c r="G19" s="16">
        <v>8000000</v>
      </c>
      <c r="H19" s="16">
        <v>7800000</v>
      </c>
    </row>
    <row r="20" spans="1:8" s="1" customFormat="1" ht="18" customHeight="1">
      <c r="A20" s="14">
        <v>17</v>
      </c>
      <c r="B20" s="20" t="s">
        <v>91</v>
      </c>
      <c r="C20" s="15">
        <f aca="true" t="shared" si="5" ref="C20:H20">C15-C16-C17</f>
        <v>-25528007</v>
      </c>
      <c r="D20" s="15">
        <f t="shared" si="5"/>
        <v>-51782025</v>
      </c>
      <c r="E20" s="15">
        <f t="shared" si="5"/>
        <v>-44386294.099999994</v>
      </c>
      <c r="F20" s="15">
        <f t="shared" si="5"/>
        <v>-39656174.228599995</v>
      </c>
      <c r="G20" s="15">
        <f t="shared" si="5"/>
        <v>-55677263.56536999</v>
      </c>
      <c r="H20" s="15">
        <f t="shared" si="5"/>
        <v>-19281050.16404134</v>
      </c>
    </row>
    <row r="21" spans="1:8" ht="15.75" customHeight="1">
      <c r="A21" s="18">
        <v>18</v>
      </c>
      <c r="B21" s="21" t="s">
        <v>92</v>
      </c>
      <c r="C21" s="16">
        <v>31278800</v>
      </c>
      <c r="D21" s="16">
        <v>40203000</v>
      </c>
      <c r="E21" s="16">
        <v>44386294</v>
      </c>
      <c r="F21" s="16">
        <v>39656174</v>
      </c>
      <c r="G21" s="16">
        <v>55677264</v>
      </c>
      <c r="H21" s="16">
        <v>19281050</v>
      </c>
    </row>
    <row r="22" spans="1:8" ht="15.75" customHeight="1">
      <c r="A22" s="18">
        <v>19</v>
      </c>
      <c r="B22" s="21" t="s">
        <v>93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ht="15.75" customHeight="1">
      <c r="A23" s="18">
        <v>20</v>
      </c>
      <c r="B23" s="21" t="s">
        <v>94</v>
      </c>
      <c r="C23" s="16">
        <v>5828232</v>
      </c>
      <c r="D23" s="16">
        <v>11579025</v>
      </c>
      <c r="E23" s="16">
        <v>0</v>
      </c>
      <c r="F23" s="16">
        <v>0</v>
      </c>
      <c r="G23" s="16">
        <v>0</v>
      </c>
      <c r="H23" s="16">
        <v>0</v>
      </c>
    </row>
    <row r="24" spans="1:8" ht="15.75" customHeight="1">
      <c r="A24" s="18"/>
      <c r="B24" s="21"/>
      <c r="C24" s="16"/>
      <c r="D24" s="16"/>
      <c r="E24" s="16"/>
      <c r="F24" s="16"/>
      <c r="G24" s="16"/>
      <c r="H24" s="16"/>
    </row>
    <row r="25" spans="1:8" ht="23.25" customHeight="1">
      <c r="A25" s="18">
        <v>21</v>
      </c>
      <c r="B25" s="22" t="s">
        <v>98</v>
      </c>
      <c r="C25" s="16">
        <f aca="true" t="shared" si="6" ref="C25:H25">C17</f>
        <v>9671556</v>
      </c>
      <c r="D25" s="16">
        <f t="shared" si="6"/>
        <v>17561103</v>
      </c>
      <c r="E25" s="16">
        <f t="shared" si="6"/>
        <v>27200000</v>
      </c>
      <c r="F25" s="16">
        <f t="shared" si="6"/>
        <v>22500000</v>
      </c>
      <c r="G25" s="16">
        <f t="shared" si="6"/>
        <v>38000000</v>
      </c>
      <c r="H25" s="16">
        <f t="shared" si="6"/>
        <v>27800000</v>
      </c>
    </row>
    <row r="26" spans="1:8" ht="15.75" customHeight="1">
      <c r="A26" s="18">
        <v>22</v>
      </c>
      <c r="B26" s="21" t="s">
        <v>95</v>
      </c>
      <c r="C26" s="16">
        <v>50363070</v>
      </c>
      <c r="D26" s="16">
        <f>C26+D21-D18</f>
        <v>76524967</v>
      </c>
      <c r="E26" s="16">
        <f>D26+E21-E18</f>
        <v>98911261</v>
      </c>
      <c r="F26" s="16">
        <f>E26+F21-F18</f>
        <v>122567435</v>
      </c>
      <c r="G26" s="16">
        <f>F26+G21-G18</f>
        <v>148244699</v>
      </c>
      <c r="H26" s="16">
        <f>G26+H21-H18</f>
        <v>147525749</v>
      </c>
    </row>
    <row r="27" spans="1:8" ht="15.75" customHeight="1">
      <c r="A27" s="18">
        <v>23</v>
      </c>
      <c r="B27" s="21" t="s">
        <v>96</v>
      </c>
      <c r="C27" s="16">
        <v>80783</v>
      </c>
      <c r="D27" s="16">
        <v>80535</v>
      </c>
      <c r="E27" s="16"/>
      <c r="F27" s="16"/>
      <c r="G27" s="16"/>
      <c r="H27" s="16"/>
    </row>
    <row r="28" ht="12.75">
      <c r="A28" s="13"/>
    </row>
    <row r="32" ht="19.5" customHeight="1"/>
    <row r="33" spans="3:8" ht="12.75">
      <c r="C33" s="7">
        <f aca="true" t="shared" si="7" ref="C33:H33">C6+C21+C23</f>
        <v>228809469</v>
      </c>
      <c r="D33" s="7">
        <f t="shared" si="7"/>
        <v>268330753</v>
      </c>
      <c r="E33" s="7">
        <f t="shared" si="7"/>
        <v>273959250.77</v>
      </c>
      <c r="F33" s="7">
        <f t="shared" si="7"/>
        <v>285662656.88310003</v>
      </c>
      <c r="G33" s="7">
        <f t="shared" si="7"/>
        <v>319020027.34959304</v>
      </c>
      <c r="H33" s="7">
        <f t="shared" si="7"/>
        <v>268475549.2500808</v>
      </c>
    </row>
    <row r="34" spans="3:8" ht="12.75">
      <c r="C34" s="7">
        <f aca="true" t="shared" si="8" ref="C34:H34">C12+C17+C16</f>
        <v>217230444</v>
      </c>
      <c r="D34" s="7">
        <f t="shared" si="8"/>
        <v>268330753</v>
      </c>
      <c r="E34" s="7">
        <f t="shared" si="8"/>
        <v>273959250.87</v>
      </c>
      <c r="F34" s="7">
        <f t="shared" si="8"/>
        <v>285662657.1117</v>
      </c>
      <c r="G34" s="7">
        <f t="shared" si="8"/>
        <v>319020026.914963</v>
      </c>
      <c r="H34" s="7">
        <f t="shared" si="8"/>
        <v>268475549.41412216</v>
      </c>
    </row>
    <row r="35" spans="3:8" ht="12.75">
      <c r="C35" s="7">
        <f aca="true" t="shared" si="9" ref="C35:H35">C33-C34</f>
        <v>11579025</v>
      </c>
      <c r="D35" s="7">
        <f t="shared" si="9"/>
        <v>0</v>
      </c>
      <c r="E35" s="7">
        <f t="shared" si="9"/>
        <v>-0.10000002384185791</v>
      </c>
      <c r="F35" s="7">
        <f t="shared" si="9"/>
        <v>-0.22859996557235718</v>
      </c>
      <c r="G35" s="7">
        <f t="shared" si="9"/>
        <v>0.43463003635406494</v>
      </c>
      <c r="H35" s="7">
        <f t="shared" si="9"/>
        <v>-0.16404134035110474</v>
      </c>
    </row>
    <row r="39" spans="2:8" ht="12.75">
      <c r="B39" s="23">
        <v>0.6</v>
      </c>
      <c r="D39" s="17">
        <f>D26/D6*100</f>
        <v>35.33845139926197</v>
      </c>
      <c r="E39" s="17">
        <f>E26/E6*100</f>
        <v>43.08489222408511</v>
      </c>
      <c r="F39" s="17">
        <f>F26/F6*100</f>
        <v>49.822847578469265</v>
      </c>
      <c r="G39" s="17">
        <f>G26/G6*100</f>
        <v>56.293439437787804</v>
      </c>
      <c r="H39" s="17">
        <f>H26/H6*100</f>
        <v>59.201045546334285</v>
      </c>
    </row>
    <row r="40" spans="2:8" ht="12.75">
      <c r="B40" s="23">
        <v>0.15</v>
      </c>
      <c r="D40" s="17">
        <f>D17/D6*100</f>
        <v>8.109538745478108</v>
      </c>
      <c r="E40" s="17">
        <f>E17/E6*100</f>
        <v>11.848085411580335</v>
      </c>
      <c r="F40" s="17">
        <f>F17/F6*100</f>
        <v>9.146100434553098</v>
      </c>
      <c r="G40" s="17">
        <f>G17/G6*100</f>
        <v>14.429863010723484</v>
      </c>
      <c r="H40" s="17">
        <f>H17/H6*100</f>
        <v>11.15594448660005</v>
      </c>
    </row>
    <row r="41" spans="2:8" ht="12.75">
      <c r="B41" s="23">
        <v>0.2</v>
      </c>
      <c r="D41" s="17">
        <f>-(D6-D12-D16-D19)/D6*100</f>
        <v>17.428373903909517</v>
      </c>
      <c r="E41" s="17">
        <f>-(E6-E12-E16-E19)/E6*100</f>
        <v>9.751276637704295</v>
      </c>
      <c r="F41" s="17">
        <f>-(F6-F12-F16-F19)/F6*100</f>
        <v>9.616077572980542</v>
      </c>
      <c r="G41" s="17">
        <f>-(G6-G12-G16-G19)/G6*100</f>
        <v>9.750510414171849</v>
      </c>
      <c r="H41" s="17">
        <f>-(H6-H12-H16-H19)/H6*100</f>
        <v>-0.2885095128994612</v>
      </c>
    </row>
  </sheetData>
  <mergeCells count="1">
    <mergeCell ref="C4:H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D1">
      <selection activeCell="J34" sqref="J34"/>
    </sheetView>
  </sheetViews>
  <sheetFormatPr defaultColWidth="9.140625" defaultRowHeight="12.75"/>
  <cols>
    <col min="1" max="1" width="4.57421875" style="24" customWidth="1"/>
    <col min="2" max="2" width="37.00390625" style="24" customWidth="1"/>
    <col min="3" max="3" width="12.7109375" style="24" customWidth="1"/>
    <col min="4" max="4" width="12.421875" style="24" customWidth="1"/>
    <col min="5" max="5" width="12.7109375" style="24" customWidth="1"/>
    <col min="6" max="6" width="12.28125" style="24" customWidth="1"/>
    <col min="7" max="8" width="12.421875" style="24" customWidth="1"/>
    <col min="9" max="9" width="12.140625" style="24" customWidth="1"/>
    <col min="10" max="10" width="12.28125" style="24" customWidth="1"/>
    <col min="11" max="11" width="12.421875" style="24" customWidth="1"/>
    <col min="12" max="12" width="12.28125" style="24" customWidth="1"/>
    <col min="13" max="13" width="12.421875" style="24" customWidth="1"/>
    <col min="14" max="14" width="13.00390625" style="24" customWidth="1"/>
    <col min="15" max="16384" width="9.140625" style="24" customWidth="1"/>
  </cols>
  <sheetData>
    <row r="1" spans="1:13" ht="20.25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4" ht="12.75" customHeight="1">
      <c r="B2" s="40" t="s">
        <v>104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7.5" customHeight="1"/>
    <row r="4" spans="1:13" s="25" customFormat="1" ht="29.25" customHeight="1">
      <c r="A4" s="3" t="s">
        <v>0</v>
      </c>
      <c r="B4" s="3" t="s">
        <v>1</v>
      </c>
      <c r="C4" s="3" t="s">
        <v>2</v>
      </c>
      <c r="D4" s="3" t="s">
        <v>106</v>
      </c>
      <c r="E4" s="3" t="s">
        <v>4</v>
      </c>
      <c r="F4" s="3" t="s">
        <v>68</v>
      </c>
      <c r="G4" s="3" t="s">
        <v>69</v>
      </c>
      <c r="H4" s="3" t="s">
        <v>70</v>
      </c>
      <c r="I4" s="3" t="s">
        <v>71</v>
      </c>
      <c r="J4" s="3" t="s">
        <v>72</v>
      </c>
      <c r="K4" s="3" t="s">
        <v>73</v>
      </c>
      <c r="L4" s="3" t="s">
        <v>74</v>
      </c>
      <c r="M4" s="3" t="s">
        <v>75</v>
      </c>
    </row>
    <row r="5" spans="1:13" s="25" customFormat="1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4.25">
      <c r="A6" s="21" t="s">
        <v>7</v>
      </c>
      <c r="B6" s="21" t="s">
        <v>8</v>
      </c>
      <c r="C6" s="26">
        <v>5828232</v>
      </c>
      <c r="D6" s="26">
        <v>11579025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</row>
    <row r="7" spans="1:13" s="28" customFormat="1" ht="18" customHeight="1">
      <c r="A7" s="20" t="s">
        <v>9</v>
      </c>
      <c r="B7" s="20" t="s">
        <v>57</v>
      </c>
      <c r="C7" s="27">
        <f aca="true" t="shared" si="0" ref="C7:M7">C8+C13+C14+C15+C16</f>
        <v>191702437</v>
      </c>
      <c r="D7" s="27">
        <f>D8+D13+D14+D15+D16</f>
        <v>214995169</v>
      </c>
      <c r="E7" s="27">
        <f t="shared" si="0"/>
        <v>231591952.78000003</v>
      </c>
      <c r="F7" s="27">
        <f t="shared" si="0"/>
        <v>258874278.26340002</v>
      </c>
      <c r="G7" s="27">
        <f t="shared" si="0"/>
        <v>273304353.621302</v>
      </c>
      <c r="H7" s="27">
        <f t="shared" si="0"/>
        <v>280582478.22994107</v>
      </c>
      <c r="I7" s="27">
        <f t="shared" si="0"/>
        <v>243292328.55683932</v>
      </c>
      <c r="J7" s="27">
        <f t="shared" si="0"/>
        <v>250591098.4135445</v>
      </c>
      <c r="K7" s="27">
        <f t="shared" si="0"/>
        <v>258108831.36595085</v>
      </c>
      <c r="L7" s="27">
        <f t="shared" si="0"/>
        <v>265852096.3069294</v>
      </c>
      <c r="M7" s="27">
        <f t="shared" si="0"/>
        <v>273827659.19613725</v>
      </c>
    </row>
    <row r="8" spans="1:13" ht="14.25">
      <c r="A8" s="21" t="s">
        <v>10</v>
      </c>
      <c r="B8" s="21" t="s">
        <v>11</v>
      </c>
      <c r="C8" s="26">
        <f aca="true" t="shared" si="1" ref="C8:M8">SUM(C9:C12)</f>
        <v>100554220</v>
      </c>
      <c r="D8" s="26">
        <f>SUM(D9:D12)</f>
        <v>110960217</v>
      </c>
      <c r="E8" s="26">
        <f t="shared" si="1"/>
        <v>115289023.51</v>
      </c>
      <c r="F8" s="26">
        <f t="shared" si="1"/>
        <v>118747694.21530001</v>
      </c>
      <c r="G8" s="26">
        <f t="shared" si="1"/>
        <v>122310125.041759</v>
      </c>
      <c r="H8" s="26">
        <f t="shared" si="1"/>
        <v>125979428.79301177</v>
      </c>
      <c r="I8" s="26">
        <f t="shared" si="1"/>
        <v>129758811.65680212</v>
      </c>
      <c r="J8" s="26">
        <f t="shared" si="1"/>
        <v>133651576.0065062</v>
      </c>
      <c r="K8" s="26">
        <f t="shared" si="1"/>
        <v>137661123.28670138</v>
      </c>
      <c r="L8" s="26">
        <f t="shared" si="1"/>
        <v>141790956.98530242</v>
      </c>
      <c r="M8" s="26">
        <f t="shared" si="1"/>
        <v>146044685.6948615</v>
      </c>
    </row>
    <row r="9" spans="1:13" ht="14.25">
      <c r="A9" s="21" t="s">
        <v>12</v>
      </c>
      <c r="B9" s="21" t="s">
        <v>13</v>
      </c>
      <c r="C9" s="26">
        <v>36847445</v>
      </c>
      <c r="D9" s="26">
        <v>36072173</v>
      </c>
      <c r="E9" s="26">
        <f>D9*103%+1000000</f>
        <v>38154338.19</v>
      </c>
      <c r="F9" s="26">
        <f aca="true" t="shared" si="2" ref="F9:M9">E9*103%</f>
        <v>39298968.3357</v>
      </c>
      <c r="G9" s="26">
        <f t="shared" si="2"/>
        <v>40477937.385771</v>
      </c>
      <c r="H9" s="26">
        <f t="shared" si="2"/>
        <v>41692275.50734413</v>
      </c>
      <c r="I9" s="26">
        <f t="shared" si="2"/>
        <v>42943043.77256445</v>
      </c>
      <c r="J9" s="26">
        <f t="shared" si="2"/>
        <v>44231335.085741386</v>
      </c>
      <c r="K9" s="26">
        <f t="shared" si="2"/>
        <v>45558275.13831363</v>
      </c>
      <c r="L9" s="26">
        <f t="shared" si="2"/>
        <v>46925023.392463036</v>
      </c>
      <c r="M9" s="26">
        <f t="shared" si="2"/>
        <v>48332774.094236925</v>
      </c>
    </row>
    <row r="10" spans="1:13" ht="14.25">
      <c r="A10" s="21"/>
      <c r="B10" s="21" t="s">
        <v>62</v>
      </c>
      <c r="C10" s="26">
        <v>10611976</v>
      </c>
      <c r="D10" s="26">
        <v>15381791</v>
      </c>
      <c r="E10" s="26">
        <f aca="true" t="shared" si="3" ref="E10:M15">D10*103%</f>
        <v>15843244.73</v>
      </c>
      <c r="F10" s="26">
        <f t="shared" si="3"/>
        <v>16318542.0719</v>
      </c>
      <c r="G10" s="26">
        <f t="shared" si="3"/>
        <v>16808098.334057</v>
      </c>
      <c r="H10" s="26">
        <f t="shared" si="3"/>
        <v>17312341.28407871</v>
      </c>
      <c r="I10" s="26">
        <f t="shared" si="3"/>
        <v>17831711.52260107</v>
      </c>
      <c r="J10" s="26">
        <f t="shared" si="3"/>
        <v>18366662.868279103</v>
      </c>
      <c r="K10" s="26">
        <f t="shared" si="3"/>
        <v>18917662.754327476</v>
      </c>
      <c r="L10" s="26">
        <f t="shared" si="3"/>
        <v>19485192.6369573</v>
      </c>
      <c r="M10" s="26">
        <f t="shared" si="3"/>
        <v>20069748.416066017</v>
      </c>
    </row>
    <row r="11" spans="1:13" ht="14.25">
      <c r="A11" s="21"/>
      <c r="B11" s="21" t="s">
        <v>14</v>
      </c>
      <c r="C11" s="26">
        <v>44480575</v>
      </c>
      <c r="D11" s="26">
        <v>49469525</v>
      </c>
      <c r="E11" s="26">
        <f t="shared" si="3"/>
        <v>50953610.75</v>
      </c>
      <c r="F11" s="26">
        <f t="shared" si="3"/>
        <v>52482219.0725</v>
      </c>
      <c r="G11" s="26">
        <f t="shared" si="3"/>
        <v>54056685.644675</v>
      </c>
      <c r="H11" s="26">
        <f t="shared" si="3"/>
        <v>55678386.21401525</v>
      </c>
      <c r="I11" s="26">
        <f t="shared" si="3"/>
        <v>57348737.800435714</v>
      </c>
      <c r="J11" s="26">
        <f t="shared" si="3"/>
        <v>59069199.934448786</v>
      </c>
      <c r="K11" s="26">
        <f t="shared" si="3"/>
        <v>60841275.93248225</v>
      </c>
      <c r="L11" s="26">
        <f t="shared" si="3"/>
        <v>62666514.21045672</v>
      </c>
      <c r="M11" s="26">
        <f t="shared" si="3"/>
        <v>64546509.63677043</v>
      </c>
    </row>
    <row r="12" spans="1:13" ht="14.25">
      <c r="A12" s="21"/>
      <c r="B12" s="21" t="s">
        <v>15</v>
      </c>
      <c r="C12" s="26">
        <f>8134298+479926</f>
        <v>8614224</v>
      </c>
      <c r="D12" s="26">
        <v>10036728</v>
      </c>
      <c r="E12" s="26">
        <f t="shared" si="3"/>
        <v>10337829.84</v>
      </c>
      <c r="F12" s="26">
        <f t="shared" si="3"/>
        <v>10647964.7352</v>
      </c>
      <c r="G12" s="26">
        <f t="shared" si="3"/>
        <v>10967403.677256001</v>
      </c>
      <c r="H12" s="26">
        <f t="shared" si="3"/>
        <v>11296425.787573682</v>
      </c>
      <c r="I12" s="26">
        <f t="shared" si="3"/>
        <v>11635318.561200893</v>
      </c>
      <c r="J12" s="26">
        <f t="shared" si="3"/>
        <v>11984378.11803692</v>
      </c>
      <c r="K12" s="26">
        <f t="shared" si="3"/>
        <v>12343909.461578028</v>
      </c>
      <c r="L12" s="26">
        <f t="shared" si="3"/>
        <v>12714226.74542537</v>
      </c>
      <c r="M12" s="26">
        <f t="shared" si="3"/>
        <v>13095653.54778813</v>
      </c>
    </row>
    <row r="13" spans="1:13" ht="14.25">
      <c r="A13" s="21" t="s">
        <v>16</v>
      </c>
      <c r="B13" s="21" t="s">
        <v>17</v>
      </c>
      <c r="C13" s="26">
        <v>59832153</v>
      </c>
      <c r="D13" s="26">
        <v>62935593</v>
      </c>
      <c r="E13" s="26">
        <f t="shared" si="3"/>
        <v>64823660.79</v>
      </c>
      <c r="F13" s="26">
        <f t="shared" si="3"/>
        <v>66768370.6137</v>
      </c>
      <c r="G13" s="26">
        <f t="shared" si="3"/>
        <v>68771421.732111</v>
      </c>
      <c r="H13" s="26">
        <f t="shared" si="3"/>
        <v>70834564.38407435</v>
      </c>
      <c r="I13" s="26">
        <f t="shared" si="3"/>
        <v>72959601.31559658</v>
      </c>
      <c r="J13" s="26">
        <f t="shared" si="3"/>
        <v>75148389.35506448</v>
      </c>
      <c r="K13" s="26">
        <f t="shared" si="3"/>
        <v>77402841.03571641</v>
      </c>
      <c r="L13" s="26">
        <f t="shared" si="3"/>
        <v>79724926.2667879</v>
      </c>
      <c r="M13" s="26">
        <f t="shared" si="3"/>
        <v>82116674.05479154</v>
      </c>
    </row>
    <row r="14" spans="1:13" ht="14.25">
      <c r="A14" s="21" t="s">
        <v>18</v>
      </c>
      <c r="B14" s="21" t="s">
        <v>19</v>
      </c>
      <c r="C14" s="26">
        <v>23692438</v>
      </c>
      <c r="D14" s="26">
        <v>27857362</v>
      </c>
      <c r="E14" s="26">
        <f t="shared" si="3"/>
        <v>28693082.86</v>
      </c>
      <c r="F14" s="26">
        <f t="shared" si="3"/>
        <v>29553875.3458</v>
      </c>
      <c r="G14" s="26">
        <f t="shared" si="3"/>
        <v>30440491.606174003</v>
      </c>
      <c r="H14" s="26">
        <f t="shared" si="3"/>
        <v>31353706.354359224</v>
      </c>
      <c r="I14" s="26">
        <f t="shared" si="3"/>
        <v>32294317.544990003</v>
      </c>
      <c r="J14" s="26">
        <f t="shared" si="3"/>
        <v>33263147.071339704</v>
      </c>
      <c r="K14" s="26">
        <f t="shared" si="3"/>
        <v>34261041.483479895</v>
      </c>
      <c r="L14" s="26">
        <f t="shared" si="3"/>
        <v>35288872.727984294</v>
      </c>
      <c r="M14" s="26">
        <f t="shared" si="3"/>
        <v>36347538.90982383</v>
      </c>
    </row>
    <row r="15" spans="1:13" ht="14.25">
      <c r="A15" s="21" t="s">
        <v>20</v>
      </c>
      <c r="B15" s="21" t="s">
        <v>21</v>
      </c>
      <c r="C15" s="26">
        <v>7318394</v>
      </c>
      <c r="D15" s="26">
        <v>7142054</v>
      </c>
      <c r="E15" s="26">
        <f t="shared" si="3"/>
        <v>7356315.62</v>
      </c>
      <c r="F15" s="26">
        <f t="shared" si="3"/>
        <v>7577005.0886</v>
      </c>
      <c r="G15" s="26">
        <f t="shared" si="3"/>
        <v>7804315.241258001</v>
      </c>
      <c r="H15" s="26">
        <f t="shared" si="3"/>
        <v>8038444.698495741</v>
      </c>
      <c r="I15" s="26">
        <f t="shared" si="3"/>
        <v>8279598.039450614</v>
      </c>
      <c r="J15" s="26">
        <f t="shared" si="3"/>
        <v>8527985.980634132</v>
      </c>
      <c r="K15" s="26">
        <f t="shared" si="3"/>
        <v>8783825.560053157</v>
      </c>
      <c r="L15" s="26">
        <f t="shared" si="3"/>
        <v>9047340.326854752</v>
      </c>
      <c r="M15" s="26">
        <f t="shared" si="3"/>
        <v>9318760.536660396</v>
      </c>
    </row>
    <row r="16" spans="1:13" ht="14.25">
      <c r="A16" s="21" t="s">
        <v>22</v>
      </c>
      <c r="B16" s="21" t="s">
        <v>23</v>
      </c>
      <c r="C16" s="26">
        <v>305232</v>
      </c>
      <c r="D16" s="26">
        <v>6099943</v>
      </c>
      <c r="E16" s="26">
        <v>15429870</v>
      </c>
      <c r="F16" s="26">
        <v>36227333</v>
      </c>
      <c r="G16" s="26">
        <v>43978000</v>
      </c>
      <c r="H16" s="26">
        <v>44376334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4" s="28" customFormat="1" ht="15">
      <c r="A17" s="20" t="s">
        <v>24</v>
      </c>
      <c r="B17" s="20" t="s">
        <v>25</v>
      </c>
      <c r="C17" s="27">
        <v>31278800</v>
      </c>
      <c r="D17" s="27">
        <v>39108000</v>
      </c>
      <c r="E17" s="27">
        <v>50226060</v>
      </c>
      <c r="F17" s="27">
        <v>52479305</v>
      </c>
      <c r="G17" s="27">
        <v>38815117</v>
      </c>
      <c r="H17" s="27">
        <v>32384787</v>
      </c>
      <c r="I17" s="27">
        <v>3188195</v>
      </c>
      <c r="J17" s="27">
        <v>4658840</v>
      </c>
      <c r="K17" s="27">
        <v>6388606</v>
      </c>
      <c r="L17" s="27">
        <v>18385264</v>
      </c>
      <c r="M17" s="27">
        <v>10656822</v>
      </c>
      <c r="N17" s="29">
        <f>SUM(C17:M17)</f>
        <v>287569796</v>
      </c>
    </row>
    <row r="18" spans="1:14" ht="50.25" customHeight="1">
      <c r="A18" s="21" t="s">
        <v>26</v>
      </c>
      <c r="B18" s="32" t="s">
        <v>63</v>
      </c>
      <c r="C18" s="26">
        <f>1338309+301844</f>
        <v>1640153</v>
      </c>
      <c r="D18" s="26">
        <v>2002000</v>
      </c>
      <c r="E18" s="26">
        <v>11740000</v>
      </c>
      <c r="F18" s="26">
        <v>20880000</v>
      </c>
      <c r="G18" s="26">
        <v>21867000</v>
      </c>
      <c r="H18" s="26">
        <v>3652000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30">
        <f>SUM(C18:H18)</f>
        <v>61781153</v>
      </c>
    </row>
    <row r="19" spans="1:13" s="28" customFormat="1" ht="15">
      <c r="A19" s="20" t="s">
        <v>27</v>
      </c>
      <c r="B19" s="20" t="s">
        <v>28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</row>
    <row r="20" spans="1:13" ht="14.25">
      <c r="A20" s="21" t="s">
        <v>29</v>
      </c>
      <c r="B20" s="21" t="s">
        <v>61</v>
      </c>
      <c r="C20" s="26">
        <f aca="true" t="shared" si="4" ref="C20:M20">C6+C7+C17+C19</f>
        <v>228809469</v>
      </c>
      <c r="D20" s="26">
        <f t="shared" si="4"/>
        <v>265682194</v>
      </c>
      <c r="E20" s="26">
        <f t="shared" si="4"/>
        <v>281818012.78000003</v>
      </c>
      <c r="F20" s="26">
        <f t="shared" si="4"/>
        <v>311353583.2634</v>
      </c>
      <c r="G20" s="26">
        <f t="shared" si="4"/>
        <v>312119470.621302</v>
      </c>
      <c r="H20" s="26">
        <f t="shared" si="4"/>
        <v>312967265.22994107</v>
      </c>
      <c r="I20" s="26">
        <f t="shared" si="4"/>
        <v>246480523.55683932</v>
      </c>
      <c r="J20" s="26">
        <f t="shared" si="4"/>
        <v>255249938.4135445</v>
      </c>
      <c r="K20" s="26">
        <f t="shared" si="4"/>
        <v>264497437.36595085</v>
      </c>
      <c r="L20" s="26">
        <f t="shared" si="4"/>
        <v>284237360.3069294</v>
      </c>
      <c r="M20" s="26">
        <f t="shared" si="4"/>
        <v>284484481.19613725</v>
      </c>
    </row>
    <row r="21" spans="1:13" s="28" customFormat="1" ht="18" customHeight="1">
      <c r="A21" s="20" t="s">
        <v>30</v>
      </c>
      <c r="B21" s="20" t="s">
        <v>56</v>
      </c>
      <c r="C21" s="27">
        <f>SUM(C22:C24)</f>
        <v>209078444</v>
      </c>
      <c r="D21" s="27">
        <f>SUM(D22:D24)</f>
        <v>251776891</v>
      </c>
      <c r="E21" s="27">
        <f aca="true" t="shared" si="5" ref="E21:M21">SUM(E22:E24)</f>
        <v>266818013</v>
      </c>
      <c r="F21" s="27">
        <f t="shared" si="5"/>
        <v>295353583</v>
      </c>
      <c r="G21" s="27">
        <f t="shared" si="5"/>
        <v>294119471</v>
      </c>
      <c r="H21" s="27">
        <f t="shared" si="5"/>
        <v>292967265.13</v>
      </c>
      <c r="I21" s="27">
        <f t="shared" si="5"/>
        <v>221480523.0839</v>
      </c>
      <c r="J21" s="27">
        <f t="shared" si="5"/>
        <v>230249938.77641702</v>
      </c>
      <c r="K21" s="27">
        <f t="shared" si="5"/>
        <v>239497436.93970954</v>
      </c>
      <c r="L21" s="27">
        <f t="shared" si="5"/>
        <v>254237360.04790083</v>
      </c>
      <c r="M21" s="27">
        <f t="shared" si="5"/>
        <v>254484480.84933785</v>
      </c>
    </row>
    <row r="22" spans="1:13" ht="14.25">
      <c r="A22" s="21" t="s">
        <v>31</v>
      </c>
      <c r="B22" s="21" t="s">
        <v>32</v>
      </c>
      <c r="C22" s="26">
        <f>175955428-C24</f>
        <v>174435873</v>
      </c>
      <c r="D22" s="26">
        <f>201722965-3120000</f>
        <v>198602965</v>
      </c>
      <c r="E22" s="26">
        <f>207019013-5200000</f>
        <v>201819013</v>
      </c>
      <c r="F22" s="26">
        <f>213229583-6500000</f>
        <v>206729583</v>
      </c>
      <c r="G22" s="26">
        <f>219626471-8000000</f>
        <v>211626471</v>
      </c>
      <c r="H22" s="26">
        <f>G22*103%-7800000</f>
        <v>210175265.13</v>
      </c>
      <c r="I22" s="26">
        <f>H22*103%-7500000</f>
        <v>208980523.0839</v>
      </c>
      <c r="J22" s="26">
        <f>I22*103%-7000000</f>
        <v>208249938.77641702</v>
      </c>
      <c r="K22" s="26">
        <f>J22*103%-6500000</f>
        <v>207997436.93970954</v>
      </c>
      <c r="L22" s="26">
        <f>K22*103%-6000000</f>
        <v>208237360.04790083</v>
      </c>
      <c r="M22" s="26">
        <f>L22*103%-5000000</f>
        <v>209484480.84933785</v>
      </c>
    </row>
    <row r="23" spans="1:13" ht="14.25">
      <c r="A23" s="21" t="s">
        <v>33</v>
      </c>
      <c r="B23" s="21" t="s">
        <v>65</v>
      </c>
      <c r="C23" s="26">
        <v>33123016</v>
      </c>
      <c r="D23" s="26">
        <v>50053926</v>
      </c>
      <c r="E23" s="26">
        <v>59799000</v>
      </c>
      <c r="F23" s="26">
        <v>82124000</v>
      </c>
      <c r="G23" s="26">
        <v>74493000</v>
      </c>
      <c r="H23" s="26">
        <v>74992000</v>
      </c>
      <c r="I23" s="26">
        <v>5000000</v>
      </c>
      <c r="J23" s="26">
        <v>15000000</v>
      </c>
      <c r="K23" s="26">
        <v>25000000</v>
      </c>
      <c r="L23" s="26">
        <v>40000000</v>
      </c>
      <c r="M23" s="26">
        <v>40000000</v>
      </c>
    </row>
    <row r="24" spans="1:13" ht="14.25">
      <c r="A24" s="21" t="s">
        <v>34</v>
      </c>
      <c r="B24" s="21" t="s">
        <v>35</v>
      </c>
      <c r="C24" s="26">
        <v>1519555</v>
      </c>
      <c r="D24" s="26">
        <v>3120000</v>
      </c>
      <c r="E24" s="26">
        <v>5200000</v>
      </c>
      <c r="F24" s="26">
        <v>6500000</v>
      </c>
      <c r="G24" s="26">
        <v>8000000</v>
      </c>
      <c r="H24" s="26">
        <v>7800000</v>
      </c>
      <c r="I24" s="26">
        <v>7500000</v>
      </c>
      <c r="J24" s="26">
        <v>7000000</v>
      </c>
      <c r="K24" s="26">
        <v>6500000</v>
      </c>
      <c r="L24" s="26">
        <v>6000000</v>
      </c>
      <c r="M24" s="26">
        <v>5000000</v>
      </c>
    </row>
    <row r="25" spans="1:14" s="28" customFormat="1" ht="15">
      <c r="A25" s="20" t="s">
        <v>36</v>
      </c>
      <c r="B25" s="20" t="s">
        <v>38</v>
      </c>
      <c r="C25" s="27">
        <v>8152000</v>
      </c>
      <c r="D25" s="27">
        <v>13905303</v>
      </c>
      <c r="E25" s="27">
        <v>15000000</v>
      </c>
      <c r="F25" s="27">
        <v>16000000</v>
      </c>
      <c r="G25" s="27">
        <v>18000000</v>
      </c>
      <c r="H25" s="27">
        <v>20000000</v>
      </c>
      <c r="I25" s="27">
        <v>25000000</v>
      </c>
      <c r="J25" s="27">
        <v>25000000</v>
      </c>
      <c r="K25" s="27">
        <v>25000000</v>
      </c>
      <c r="L25" s="27">
        <v>30000000</v>
      </c>
      <c r="M25" s="27">
        <v>30000000</v>
      </c>
      <c r="N25" s="29">
        <f>SUM(C25:M25)</f>
        <v>226057303</v>
      </c>
    </row>
    <row r="26" spans="1:14" ht="65.25" customHeight="1">
      <c r="A26" s="21" t="s">
        <v>37</v>
      </c>
      <c r="B26" s="22" t="s">
        <v>58</v>
      </c>
      <c r="C26" s="26">
        <v>0</v>
      </c>
      <c r="D26" s="26">
        <v>301844</v>
      </c>
      <c r="E26" s="26">
        <v>3000000</v>
      </c>
      <c r="F26" s="26">
        <v>8000000</v>
      </c>
      <c r="G26" s="26">
        <v>10000000</v>
      </c>
      <c r="H26" s="26">
        <v>16000000</v>
      </c>
      <c r="I26" s="26">
        <v>10000000</v>
      </c>
      <c r="J26" s="26">
        <v>9000000</v>
      </c>
      <c r="K26" s="26">
        <v>5479309</v>
      </c>
      <c r="L26" s="26">
        <v>0</v>
      </c>
      <c r="M26" s="26">
        <v>0</v>
      </c>
      <c r="N26" s="30">
        <f>SUM(C26:M26)</f>
        <v>61781153</v>
      </c>
    </row>
    <row r="27" spans="1:13" s="28" customFormat="1" ht="15">
      <c r="A27" s="20" t="s">
        <v>39</v>
      </c>
      <c r="B27" s="20" t="s">
        <v>59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</row>
    <row r="28" spans="1:14" ht="14.25">
      <c r="A28" s="21" t="s">
        <v>40</v>
      </c>
      <c r="B28" s="21" t="s">
        <v>41</v>
      </c>
      <c r="C28" s="26">
        <f aca="true" t="shared" si="6" ref="C28:M28">C21+C25+C27</f>
        <v>217230444</v>
      </c>
      <c r="D28" s="26">
        <f t="shared" si="6"/>
        <v>265682194</v>
      </c>
      <c r="E28" s="26">
        <f t="shared" si="6"/>
        <v>281818013</v>
      </c>
      <c r="F28" s="26">
        <f t="shared" si="6"/>
        <v>311353583</v>
      </c>
      <c r="G28" s="26">
        <f t="shared" si="6"/>
        <v>312119471</v>
      </c>
      <c r="H28" s="26">
        <f t="shared" si="6"/>
        <v>312967265.13</v>
      </c>
      <c r="I28" s="26">
        <f t="shared" si="6"/>
        <v>246480523.0839</v>
      </c>
      <c r="J28" s="26">
        <f t="shared" si="6"/>
        <v>255249938.77641702</v>
      </c>
      <c r="K28" s="26">
        <f t="shared" si="6"/>
        <v>264497436.93970954</v>
      </c>
      <c r="L28" s="26">
        <f t="shared" si="6"/>
        <v>284237360.0479008</v>
      </c>
      <c r="M28" s="26">
        <f t="shared" si="6"/>
        <v>284484480.8493378</v>
      </c>
      <c r="N28" s="30">
        <f>N18-N26</f>
        <v>0</v>
      </c>
    </row>
    <row r="29" spans="1:14" ht="25.5">
      <c r="A29" s="21" t="s">
        <v>42</v>
      </c>
      <c r="B29" s="22" t="s">
        <v>43</v>
      </c>
      <c r="C29" s="26">
        <f aca="true" t="shared" si="7" ref="C29:M29">C20-C28</f>
        <v>11579025</v>
      </c>
      <c r="D29" s="26">
        <f t="shared" si="7"/>
        <v>0</v>
      </c>
      <c r="E29" s="26">
        <f t="shared" si="7"/>
        <v>-0.21999996900558472</v>
      </c>
      <c r="F29" s="26">
        <f t="shared" si="7"/>
        <v>0.26340001821517944</v>
      </c>
      <c r="G29" s="26">
        <f t="shared" si="7"/>
        <v>-0.3786979913711548</v>
      </c>
      <c r="H29" s="26">
        <f t="shared" si="7"/>
        <v>0.09994107484817505</v>
      </c>
      <c r="I29" s="26">
        <f t="shared" si="7"/>
        <v>0.47293931245803833</v>
      </c>
      <c r="J29" s="26">
        <f t="shared" si="7"/>
        <v>-0.36287251114845276</v>
      </c>
      <c r="K29" s="26">
        <f t="shared" si="7"/>
        <v>0.42624130845069885</v>
      </c>
      <c r="L29" s="26">
        <f t="shared" si="7"/>
        <v>0.2590286135673523</v>
      </c>
      <c r="M29" s="26">
        <f t="shared" si="7"/>
        <v>0.34679943323135376</v>
      </c>
      <c r="N29" s="30"/>
    </row>
    <row r="30" spans="1:13" ht="14.25">
      <c r="A30" s="21" t="s">
        <v>44</v>
      </c>
      <c r="B30" s="21" t="s">
        <v>45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14.25">
      <c r="A31" s="21" t="s">
        <v>46</v>
      </c>
      <c r="B31" s="21" t="s">
        <v>47</v>
      </c>
      <c r="C31" s="26">
        <f aca="true" t="shared" si="8" ref="C31:M31">C24+C25-C26+C30</f>
        <v>9671555</v>
      </c>
      <c r="D31" s="26">
        <f t="shared" si="8"/>
        <v>16723459</v>
      </c>
      <c r="E31" s="26">
        <f t="shared" si="8"/>
        <v>17200000</v>
      </c>
      <c r="F31" s="26">
        <f t="shared" si="8"/>
        <v>14500000</v>
      </c>
      <c r="G31" s="26">
        <f t="shared" si="8"/>
        <v>16000000</v>
      </c>
      <c r="H31" s="26">
        <f t="shared" si="8"/>
        <v>11800000</v>
      </c>
      <c r="I31" s="26">
        <f t="shared" si="8"/>
        <v>22500000</v>
      </c>
      <c r="J31" s="26">
        <f t="shared" si="8"/>
        <v>23000000</v>
      </c>
      <c r="K31" s="26">
        <f t="shared" si="8"/>
        <v>26020691</v>
      </c>
      <c r="L31" s="26">
        <f t="shared" si="8"/>
        <v>36000000</v>
      </c>
      <c r="M31" s="26">
        <f t="shared" si="8"/>
        <v>35000000</v>
      </c>
    </row>
    <row r="32" spans="1:13" s="28" customFormat="1" ht="15">
      <c r="A32" s="20" t="s">
        <v>48</v>
      </c>
      <c r="B32" s="20" t="s">
        <v>49</v>
      </c>
      <c r="C32" s="31">
        <f aca="true" t="shared" si="9" ref="C32:M32">C31/C7*100</f>
        <v>5.045087142006442</v>
      </c>
      <c r="D32" s="31">
        <f t="shared" si="9"/>
        <v>7.7785278049666315</v>
      </c>
      <c r="E32" s="31">
        <f>E31/E7*100</f>
        <v>7.426855637051897</v>
      </c>
      <c r="F32" s="31">
        <f t="shared" si="9"/>
        <v>5.601174476379034</v>
      </c>
      <c r="G32" s="31">
        <f t="shared" si="9"/>
        <v>5.854279226802965</v>
      </c>
      <c r="H32" s="31">
        <f t="shared" si="9"/>
        <v>4.205537022283245</v>
      </c>
      <c r="I32" s="31">
        <f t="shared" si="9"/>
        <v>9.24813377119839</v>
      </c>
      <c r="J32" s="31">
        <f t="shared" si="9"/>
        <v>9.17829888835223</v>
      </c>
      <c r="K32" s="31">
        <f t="shared" si="9"/>
        <v>10.081286588411013</v>
      </c>
      <c r="L32" s="31">
        <f t="shared" si="9"/>
        <v>13.541363976471176</v>
      </c>
      <c r="M32" s="31">
        <f t="shared" si="9"/>
        <v>12.781762113713357</v>
      </c>
    </row>
    <row r="33" spans="1:13" s="28" customFormat="1" ht="15">
      <c r="A33" s="20" t="s">
        <v>50</v>
      </c>
      <c r="B33" s="20" t="s">
        <v>51</v>
      </c>
      <c r="C33" s="27">
        <v>50363070</v>
      </c>
      <c r="D33" s="27">
        <f>C33+D17-D25</f>
        <v>75565767</v>
      </c>
      <c r="E33" s="27">
        <f aca="true" t="shared" si="10" ref="E33:M34">D33+E17-E25</f>
        <v>110791827</v>
      </c>
      <c r="F33" s="27">
        <f t="shared" si="10"/>
        <v>147271132</v>
      </c>
      <c r="G33" s="27">
        <f t="shared" si="10"/>
        <v>168086249</v>
      </c>
      <c r="H33" s="27">
        <f t="shared" si="10"/>
        <v>180471036</v>
      </c>
      <c r="I33" s="27">
        <f t="shared" si="10"/>
        <v>158659231</v>
      </c>
      <c r="J33" s="27">
        <f t="shared" si="10"/>
        <v>138318071</v>
      </c>
      <c r="K33" s="27">
        <f t="shared" si="10"/>
        <v>119706677</v>
      </c>
      <c r="L33" s="27">
        <f t="shared" si="10"/>
        <v>108091941</v>
      </c>
      <c r="M33" s="27">
        <f t="shared" si="10"/>
        <v>88748763</v>
      </c>
    </row>
    <row r="34" spans="1:13" ht="63.75">
      <c r="A34" s="21" t="s">
        <v>52</v>
      </c>
      <c r="B34" s="22" t="s">
        <v>64</v>
      </c>
      <c r="C34" s="26">
        <f>C18-C26</f>
        <v>1640153</v>
      </c>
      <c r="D34" s="26">
        <f>C34+D18-D26</f>
        <v>3340309</v>
      </c>
      <c r="E34" s="26">
        <f t="shared" si="10"/>
        <v>12080309</v>
      </c>
      <c r="F34" s="26">
        <f t="shared" si="10"/>
        <v>24960309</v>
      </c>
      <c r="G34" s="26">
        <f t="shared" si="10"/>
        <v>36827309</v>
      </c>
      <c r="H34" s="26">
        <f t="shared" si="10"/>
        <v>24479309</v>
      </c>
      <c r="I34" s="26">
        <f t="shared" si="10"/>
        <v>14479309</v>
      </c>
      <c r="J34" s="26">
        <f t="shared" si="10"/>
        <v>5479309</v>
      </c>
      <c r="K34" s="26">
        <f t="shared" si="10"/>
        <v>0</v>
      </c>
      <c r="L34" s="26">
        <f t="shared" si="10"/>
        <v>0</v>
      </c>
      <c r="M34" s="26">
        <f t="shared" si="10"/>
        <v>0</v>
      </c>
    </row>
    <row r="35" spans="1:13" s="28" customFormat="1" ht="15">
      <c r="A35" s="20" t="s">
        <v>53</v>
      </c>
      <c r="B35" s="20" t="s">
        <v>54</v>
      </c>
      <c r="C35" s="31">
        <f>(C33-C34)/C7*100</f>
        <v>25.415909031975424</v>
      </c>
      <c r="D35" s="31">
        <f>(D33-D34)/D7*100</f>
        <v>33.59399112823787</v>
      </c>
      <c r="E35" s="31">
        <f aca="true" t="shared" si="11" ref="E35:M35">(E33-E34)/E7*100</f>
        <v>42.62303452908429</v>
      </c>
      <c r="F35" s="31">
        <f t="shared" si="11"/>
        <v>47.24719034293198</v>
      </c>
      <c r="G35" s="31">
        <f t="shared" si="11"/>
        <v>48.026655360886046</v>
      </c>
      <c r="H35" s="31">
        <f t="shared" si="11"/>
        <v>55.59567653122043</v>
      </c>
      <c r="I35" s="31">
        <f t="shared" si="11"/>
        <v>59.2620091456422</v>
      </c>
      <c r="J35" s="31">
        <f t="shared" si="11"/>
        <v>53.010167895421155</v>
      </c>
      <c r="K35" s="31">
        <f t="shared" si="11"/>
        <v>46.37837317169436</v>
      </c>
      <c r="L35" s="31">
        <f t="shared" si="11"/>
        <v>40.65867544456244</v>
      </c>
      <c r="M35" s="31">
        <f t="shared" si="11"/>
        <v>32.410445044352166</v>
      </c>
    </row>
    <row r="36" spans="1:6" ht="12.75">
      <c r="A36" s="24" t="s">
        <v>105</v>
      </c>
      <c r="F36" s="30">
        <v>4598276</v>
      </c>
    </row>
    <row r="37" spans="1:13" ht="12.75">
      <c r="A37" s="24" t="s">
        <v>55</v>
      </c>
      <c r="F37" s="30">
        <v>0</v>
      </c>
      <c r="H37" s="41" t="s">
        <v>107</v>
      </c>
      <c r="I37" s="41"/>
      <c r="J37" s="41"/>
      <c r="K37" s="41"/>
      <c r="L37" s="41"/>
      <c r="M37" s="41"/>
    </row>
  </sheetData>
  <mergeCells count="3">
    <mergeCell ref="A1:M1"/>
    <mergeCell ref="B2:N2"/>
    <mergeCell ref="H37:M37"/>
  </mergeCells>
  <printOptions/>
  <pageMargins left="0" right="0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Szymańska Katarzyna</cp:lastModifiedBy>
  <cp:lastPrinted>2006-10-23T10:55:19Z</cp:lastPrinted>
  <dcterms:created xsi:type="dcterms:W3CDTF">2006-04-24T07:41:08Z</dcterms:created>
  <dcterms:modified xsi:type="dcterms:W3CDTF">2006-10-26T08:36:23Z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