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<sst xmlns="http://schemas.openxmlformats.org/spreadsheetml/2006/main" count="558" uniqueCount="168">
  <si>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</si>
  <si>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</si>
  <si>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</si>
  <si>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</si>
  <si>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</si>
  <si>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</si>
  <si>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</si>
  <si>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</si>
  <si>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</si>
  <si>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</si>
  <si>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</si>
  <si>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</si>
  <si>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</si>
  <si>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</si>
  <si>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</si>
  <si>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</si>
  <si>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§ 4300</t>
  </si>
  <si>
    <t>pozostałe usługi</t>
  </si>
  <si>
    <t>WYDATKI  DOTYCZĄCE  ZADAŃ  POWIATU</t>
  </si>
  <si>
    <t>B</t>
  </si>
  <si>
    <t>§ 4010</t>
  </si>
  <si>
    <t>§ 4210</t>
  </si>
  <si>
    <t>materiały i wyposażenie</t>
  </si>
  <si>
    <t>§ 4260</t>
  </si>
  <si>
    <t>energia</t>
  </si>
  <si>
    <t>WYDATKI OGÓŁEM   dotyczące zadań gminy i powiatu</t>
  </si>
  <si>
    <t>§ 4270</t>
  </si>
  <si>
    <t>usługi remontowe</t>
  </si>
  <si>
    <t>Dział 801</t>
  </si>
  <si>
    <t>Oświata i wychowanie</t>
  </si>
  <si>
    <t>Szkoły podstawowe</t>
  </si>
  <si>
    <t>Dział 854</t>
  </si>
  <si>
    <t>Edukacyjna opieka wychowawcza</t>
  </si>
  <si>
    <t>Szkoły zawodowe</t>
  </si>
  <si>
    <t>§ 4040</t>
  </si>
  <si>
    <t>Licea ogólnokształcące</t>
  </si>
  <si>
    <t>Rady Miasta w Piotrkowie Tryb.</t>
  </si>
  <si>
    <t>Pozostała działalność</t>
  </si>
  <si>
    <t>Dział 852</t>
  </si>
  <si>
    <t>Pomoc społeczna</t>
  </si>
  <si>
    <t>Dział 754</t>
  </si>
  <si>
    <t>Bezpieczeństwo publiczne</t>
  </si>
  <si>
    <t>§ 6050</t>
  </si>
  <si>
    <t>wydatki inwestycyjne</t>
  </si>
  <si>
    <t xml:space="preserve">wynagrodzenie </t>
  </si>
  <si>
    <t>§ 4240</t>
  </si>
  <si>
    <t>pomoce naukowe</t>
  </si>
  <si>
    <t>Dział 900</t>
  </si>
  <si>
    <t>Gospodarka komunalna</t>
  </si>
  <si>
    <t>Dział 758</t>
  </si>
  <si>
    <t>Różne rozliczenia</t>
  </si>
  <si>
    <t>Dział 750</t>
  </si>
  <si>
    <t>Administracja publiczna</t>
  </si>
  <si>
    <t>§ 4110</t>
  </si>
  <si>
    <t>§ 4120</t>
  </si>
  <si>
    <t>składki na FP</t>
  </si>
  <si>
    <t>§ 4170</t>
  </si>
  <si>
    <t>Rezerwy ogólne i celowe</t>
  </si>
  <si>
    <t>§ 4810</t>
  </si>
  <si>
    <t>składki na ubezpieczenia społeczne</t>
  </si>
  <si>
    <t>Ośrodki wsparcia</t>
  </si>
  <si>
    <t>§ 4410</t>
  </si>
  <si>
    <t>podróże służbowe krajowe</t>
  </si>
  <si>
    <t>do Uchwały Nr</t>
  </si>
  <si>
    <t xml:space="preserve">z dnia  </t>
  </si>
  <si>
    <t>wynagrodzenie dodatkowe roczne</t>
  </si>
  <si>
    <t>wynagrodzenie bezosobowe</t>
  </si>
  <si>
    <t>Załącznik nr 3</t>
  </si>
  <si>
    <t>Świetlice szkolne</t>
  </si>
  <si>
    <t>ZMIANY  W  PLANIE  WYDATKÓW - AUTOPOPRAWKA</t>
  </si>
  <si>
    <t>Gimnazja</t>
  </si>
  <si>
    <t>§ 2540</t>
  </si>
  <si>
    <t>dotacje dla szkół niepublicznych</t>
  </si>
  <si>
    <t>Licea profilowane</t>
  </si>
  <si>
    <t>Dział 926</t>
  </si>
  <si>
    <t xml:space="preserve">Kultura fizyczna i sport </t>
  </si>
  <si>
    <t>majątkowe</t>
  </si>
  <si>
    <t>§ 4480</t>
  </si>
  <si>
    <t>podatek od nieruchomości</t>
  </si>
  <si>
    <t>Komenda powiatowa PSP</t>
  </si>
  <si>
    <t>§ 3070</t>
  </si>
  <si>
    <t>§ 4060</t>
  </si>
  <si>
    <t>§ 4080</t>
  </si>
  <si>
    <t>§ 4180</t>
  </si>
  <si>
    <t>Dział 851</t>
  </si>
  <si>
    <t>Ochrona zdrowia</t>
  </si>
  <si>
    <t>Składki na ubezpieczenia zdrowotne</t>
  </si>
  <si>
    <t>Placówki opiekuńczo-wychowawcze</t>
  </si>
  <si>
    <t>§ 4220</t>
  </si>
  <si>
    <t>zakup żywności</t>
  </si>
  <si>
    <t>§ 4350</t>
  </si>
  <si>
    <t>usługi internetowe</t>
  </si>
  <si>
    <t>Dział 921</t>
  </si>
  <si>
    <t>Kultura i ochrona dziec.narodowego</t>
  </si>
  <si>
    <t>§ 2480</t>
  </si>
  <si>
    <t>dotacje dla instytucji kultury</t>
  </si>
  <si>
    <t>Biblioteka</t>
  </si>
  <si>
    <t>Przedszkola</t>
  </si>
  <si>
    <t>pomoce naukowe, dydaktyczne</t>
  </si>
  <si>
    <t>Doskonalenie i dokształcanie</t>
  </si>
  <si>
    <t>wydatki osobowe niezal.do uposażenia</t>
  </si>
  <si>
    <t>pozostałe nalezności funkcjonariuszy</t>
  </si>
  <si>
    <t>uposażenie oraz świadczenia funk.</t>
  </si>
  <si>
    <t>równoważnik pieniężny dla funkcjon.</t>
  </si>
  <si>
    <t>Dział 600</t>
  </si>
  <si>
    <t>Transport i łączność</t>
  </si>
  <si>
    <t>Dział 710</t>
  </si>
  <si>
    <t>Działalność usługowa</t>
  </si>
  <si>
    <t>Cmentarze</t>
  </si>
  <si>
    <t>§ 2910</t>
  </si>
  <si>
    <t>zwrot dotacji niesłusznie pobranych</t>
  </si>
  <si>
    <t>§ 2320</t>
  </si>
  <si>
    <t>dotacje dla powiatu</t>
  </si>
  <si>
    <t>§ 4440</t>
  </si>
  <si>
    <t>§ 3110</t>
  </si>
  <si>
    <t>Rodziny zastępcze</t>
  </si>
  <si>
    <t>świadczenia społeczne</t>
  </si>
  <si>
    <t>Dział 630</t>
  </si>
  <si>
    <t>Turystyka</t>
  </si>
  <si>
    <t>Lokalny transport zbiorowy</t>
  </si>
  <si>
    <t>Poradnia Psychologiczno-Pedagogiczna</t>
  </si>
  <si>
    <t>Oświatlenie ulic</t>
  </si>
  <si>
    <t>§ 2820</t>
  </si>
  <si>
    <t>dotacja dla stowarzyszeń</t>
  </si>
  <si>
    <t>rózne opłaty i składki</t>
  </si>
  <si>
    <t>Ośrodki pomocy społecznej</t>
  </si>
  <si>
    <t>§ 4430</t>
  </si>
  <si>
    <t>świdaczenia społeczne</t>
  </si>
  <si>
    <t>Dział 853</t>
  </si>
  <si>
    <t>Pozost.zadania w zakr.polit.społ.</t>
  </si>
  <si>
    <t>ZONA</t>
  </si>
  <si>
    <t>Oddziały przedszkolne</t>
  </si>
  <si>
    <t>Przeciwdziałanie alkoholizmowi</t>
  </si>
  <si>
    <t>Bursza Szkolna</t>
  </si>
  <si>
    <t>Szkolne szchroniska młodzieżowe</t>
  </si>
  <si>
    <t>Szkoła podstawowa specjalna</t>
  </si>
  <si>
    <t>Szkoła zawodowa specjalna</t>
  </si>
  <si>
    <t>Specjalny ośrodek szkolno-wychow.</t>
  </si>
  <si>
    <t>Ośrodek Adopcyjno-Opiekuńczy</t>
  </si>
  <si>
    <t>odpis na ZFŚS</t>
  </si>
  <si>
    <t>§ 4090</t>
  </si>
  <si>
    <t>honoraria</t>
  </si>
  <si>
    <t>różne opłaty i składki</t>
  </si>
  <si>
    <t>wynagrodzenia</t>
  </si>
  <si>
    <t>Straż Miejska</t>
  </si>
  <si>
    <t>Pozostała działalnośc</t>
  </si>
  <si>
    <t>Drogi publiczne</t>
  </si>
  <si>
    <t>§ 6058</t>
  </si>
  <si>
    <t>§ 6059</t>
  </si>
  <si>
    <t>rezerwa ogólna</t>
  </si>
  <si>
    <t>Pozostałe zadania w kulturze</t>
  </si>
  <si>
    <t>dotacje dla stowarzyszeń</t>
  </si>
  <si>
    <t>Promocja miasta</t>
  </si>
  <si>
    <t>Świadczenia rodzinne</t>
  </si>
  <si>
    <t>Dział 700</t>
  </si>
  <si>
    <t>Towarzystwo budownictwa społecznego</t>
  </si>
  <si>
    <t xml:space="preserve">Pozostała działalność </t>
  </si>
  <si>
    <t>Gospodarka mieszkaniowa</t>
  </si>
  <si>
    <t>§ 3020</t>
  </si>
  <si>
    <t>§ 4280</t>
  </si>
  <si>
    <t>usługi zdrowotne</t>
  </si>
  <si>
    <t>do Uchwały Nr   LVI/960/06</t>
  </si>
  <si>
    <t>z dnia  27 września 2006 r.</t>
  </si>
  <si>
    <t>rezerwa na kulturę</t>
  </si>
  <si>
    <t>Pozostałe instytucje kultury</t>
  </si>
  <si>
    <t>wydatki inwestycyjne współfin.UE</t>
  </si>
  <si>
    <t>wydatki inwestycyjne współfin.BP</t>
  </si>
  <si>
    <t>wydatki osobowe niezalicz.do wynagr.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</si>
</sst>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4" xfId="0" applyFont="1" applyBorder="1" applyAlignment="1">
      <alignment vertical="center"/>
    </xf>
    <xf numFmtId="3" fontId="0" fillId="2" borderId="3" xfId="0" applyNumberForma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3" fontId="0" fillId="2" borderId="3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3" fontId="0" fillId="2" borderId="4" xfId="0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/>
    </xf>
    <xf numFmtId="0" fontId="0" fillId="0" borderId="6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3" fontId="0" fillId="2" borderId="3" xfId="0" applyNumberForma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="125" zoomScaleNormal="125" workbookViewId="0" topLeftCell="A1">
      <selection activeCell="C177" sqref="C177"/>
    </sheetView>
  </sheetViews>
  <sheetFormatPr defaultColWidth="9.00390625" defaultRowHeight="12.75"/>
  <cols>
    <col min="1" max="1" width="11.875" style="0" customWidth="1"/>
    <col min="2" max="2" width="31.375" style="0" customWidth="1"/>
    <col min="3" max="4" width="11.125" style="0" customWidth="1"/>
    <col min="5" max="5" width="11.625" style="0" customWidth="1"/>
    <col min="6" max="6" width="10.375" style="0" bestFit="1" customWidth="1"/>
    <col min="7" max="8" width="10.25390625" style="0" customWidth="1"/>
    <col min="9" max="9" width="11.75390625" style="0" customWidth="1"/>
    <col min="10" max="10" width="10.25390625" style="0" customWidth="1"/>
    <col min="11" max="11" width="11.625" style="0" customWidth="1"/>
  </cols>
  <sheetData>
    <row r="1" spans="9:11" ht="13.5" customHeight="1">
      <c r="I1" s="194" t="s">
        <v>67</v>
      </c>
      <c r="J1" s="194"/>
      <c r="K1" s="194"/>
    </row>
    <row r="2" spans="9:11" ht="13.5" customHeight="1">
      <c r="I2" s="194" t="s">
        <v>161</v>
      </c>
      <c r="J2" s="194"/>
      <c r="K2" s="194"/>
    </row>
    <row r="3" spans="9:11" ht="13.5" customHeight="1">
      <c r="I3" s="194" t="s">
        <v>36</v>
      </c>
      <c r="J3" s="194"/>
      <c r="K3" s="194"/>
    </row>
    <row r="4" spans="9:11" ht="13.5" customHeight="1">
      <c r="I4" s="194" t="s">
        <v>162</v>
      </c>
      <c r="J4" s="194"/>
      <c r="K4" s="194"/>
    </row>
    <row r="5" spans="1:11" ht="31.5" customHeight="1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5" customHeight="1">
      <c r="A6" s="189" t="s">
        <v>1</v>
      </c>
      <c r="B6" s="189" t="s">
        <v>2</v>
      </c>
      <c r="C6" s="190" t="s">
        <v>3</v>
      </c>
      <c r="D6" s="190"/>
      <c r="E6" s="190"/>
      <c r="F6" s="190" t="s">
        <v>4</v>
      </c>
      <c r="G6" s="190"/>
      <c r="H6" s="190"/>
      <c r="I6" s="190" t="s">
        <v>5</v>
      </c>
      <c r="J6" s="190"/>
      <c r="K6" s="190"/>
    </row>
    <row r="7" spans="1:11" ht="15" customHeight="1">
      <c r="A7" s="189"/>
      <c r="B7" s="189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9" customFormat="1" ht="27" customHeight="1">
      <c r="A9" s="2" t="s">
        <v>9</v>
      </c>
      <c r="B9" s="3" t="s">
        <v>25</v>
      </c>
      <c r="C9" s="4">
        <v>213427688</v>
      </c>
      <c r="D9" s="4">
        <v>38363923</v>
      </c>
      <c r="E9" s="4">
        <f>SUM(C9:D9)</f>
        <v>251791611</v>
      </c>
      <c r="F9" s="4">
        <f>F13+F187</f>
        <v>-206125</v>
      </c>
      <c r="G9" s="4">
        <f>G13+G187</f>
        <v>-80720</v>
      </c>
      <c r="H9" s="4">
        <f>SUM(F9:G9)</f>
        <v>-286845</v>
      </c>
      <c r="I9" s="4">
        <f>C9+F9</f>
        <v>213221563</v>
      </c>
      <c r="J9" s="4">
        <f>D9+G9</f>
        <v>38283203</v>
      </c>
      <c r="K9" s="4">
        <f>E9+H9</f>
        <v>251504766</v>
      </c>
    </row>
    <row r="10" spans="1:11" s="24" customFormat="1" ht="13.5" customHeight="1">
      <c r="A10" s="5"/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28" customFormat="1" ht="15" customHeight="1">
      <c r="A11" s="7"/>
      <c r="B11" s="7" t="s">
        <v>76</v>
      </c>
      <c r="C11" s="8">
        <v>46126657</v>
      </c>
      <c r="D11" s="8">
        <v>4272556</v>
      </c>
      <c r="E11" s="8">
        <f>SUM(C11:D11)</f>
        <v>50399213</v>
      </c>
      <c r="F11" s="8">
        <f>F15+F189</f>
        <v>-264567</v>
      </c>
      <c r="G11" s="8">
        <f>G15+G189</f>
        <v>-80720</v>
      </c>
      <c r="H11" s="8">
        <f>SUM(F11:G11)</f>
        <v>-345287</v>
      </c>
      <c r="I11" s="8">
        <f>C11+F11</f>
        <v>45862090</v>
      </c>
      <c r="J11" s="8">
        <f>D11+G11</f>
        <v>4191836</v>
      </c>
      <c r="K11" s="8">
        <f>E11+H11</f>
        <v>50053926</v>
      </c>
    </row>
    <row r="12" spans="1:11" ht="24" customHeight="1">
      <c r="A12" s="191" t="s">
        <v>12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3"/>
    </row>
    <row r="13" spans="1:11" s="19" customFormat="1" ht="15" customHeight="1">
      <c r="A13" s="9" t="s">
        <v>13</v>
      </c>
      <c r="B13" s="10" t="s">
        <v>14</v>
      </c>
      <c r="C13" s="11">
        <v>150642618</v>
      </c>
      <c r="D13" s="11">
        <v>24828902</v>
      </c>
      <c r="E13" s="4">
        <f>SUM(C13:D13)</f>
        <v>175471520</v>
      </c>
      <c r="F13" s="11">
        <f>F16+F21+F34+F71+F110+F142+F153+F165+F177+F53+F65+F27</f>
        <v>-311849</v>
      </c>
      <c r="G13" s="11">
        <f>G16+G21+G34+G71+G110+G142+G153+G165+G177+G53</f>
        <v>0</v>
      </c>
      <c r="H13" s="4">
        <f>SUM(F13:G13)</f>
        <v>-311849</v>
      </c>
      <c r="I13" s="4">
        <f>C13+F13</f>
        <v>150330769</v>
      </c>
      <c r="J13" s="4">
        <f>D13+G13</f>
        <v>24828902</v>
      </c>
      <c r="K13" s="4">
        <f>E13+H13</f>
        <v>175159671</v>
      </c>
    </row>
    <row r="14" spans="1:11" s="24" customFormat="1" ht="15" customHeight="1">
      <c r="A14" s="12"/>
      <c r="B14" s="13" t="s">
        <v>15</v>
      </c>
      <c r="C14" s="14"/>
      <c r="D14" s="14"/>
      <c r="E14" s="14"/>
      <c r="F14" s="14"/>
      <c r="G14" s="14"/>
      <c r="H14" s="6"/>
      <c r="I14" s="6"/>
      <c r="J14" s="6"/>
      <c r="K14" s="6"/>
    </row>
    <row r="15" spans="1:11" s="28" customFormat="1" ht="15" customHeight="1">
      <c r="A15" s="15"/>
      <c r="B15" s="7" t="s">
        <v>76</v>
      </c>
      <c r="C15" s="17">
        <v>36942800</v>
      </c>
      <c r="D15" s="17">
        <v>34000</v>
      </c>
      <c r="E15" s="8">
        <f>SUM(C15:D15)</f>
        <v>36976800</v>
      </c>
      <c r="F15" s="17">
        <f>F18+F23+F36+F73+F112+F144+F155+F167+F179+F55+F29</f>
        <v>-431044</v>
      </c>
      <c r="G15" s="17">
        <f>G18+G23+G36+G73+G112+G144+G155+G167+G179+G55</f>
        <v>0</v>
      </c>
      <c r="H15" s="8">
        <f>SUM(F15:G15)</f>
        <v>-431044</v>
      </c>
      <c r="I15" s="8">
        <f aca="true" t="shared" si="0" ref="I15:K16">C15+F15</f>
        <v>36511756</v>
      </c>
      <c r="J15" s="8">
        <f t="shared" si="0"/>
        <v>34000</v>
      </c>
      <c r="K15" s="8">
        <f t="shared" si="0"/>
        <v>36545756</v>
      </c>
    </row>
    <row r="16" spans="1:11" s="95" customFormat="1" ht="15" customHeight="1">
      <c r="A16" s="92" t="s">
        <v>104</v>
      </c>
      <c r="B16" s="93" t="s">
        <v>105</v>
      </c>
      <c r="C16" s="94">
        <v>30023397</v>
      </c>
      <c r="D16" s="94">
        <v>0</v>
      </c>
      <c r="E16" s="4">
        <f>SUM(C16:D16)</f>
        <v>30023397</v>
      </c>
      <c r="F16" s="94">
        <f>F19</f>
        <v>2350</v>
      </c>
      <c r="G16" s="94">
        <v>0</v>
      </c>
      <c r="H16" s="4">
        <f>F16+G16</f>
        <v>2350</v>
      </c>
      <c r="I16" s="4">
        <f t="shared" si="0"/>
        <v>30025747</v>
      </c>
      <c r="J16" s="4">
        <f t="shared" si="0"/>
        <v>0</v>
      </c>
      <c r="K16" s="4">
        <f t="shared" si="0"/>
        <v>30025747</v>
      </c>
    </row>
    <row r="17" spans="1:11" s="99" customFormat="1" ht="15" customHeight="1">
      <c r="A17" s="96"/>
      <c r="B17" s="97" t="s">
        <v>10</v>
      </c>
      <c r="C17" s="98"/>
      <c r="D17" s="98"/>
      <c r="E17" s="6"/>
      <c r="F17" s="98"/>
      <c r="G17" s="98"/>
      <c r="H17" s="6"/>
      <c r="I17" s="6"/>
      <c r="J17" s="6"/>
      <c r="K17" s="6"/>
    </row>
    <row r="18" spans="1:11" s="102" customFormat="1" ht="15" customHeight="1">
      <c r="A18" s="100"/>
      <c r="B18" s="7" t="s">
        <v>76</v>
      </c>
      <c r="C18" s="101">
        <v>18666399</v>
      </c>
      <c r="D18" s="101">
        <v>0</v>
      </c>
      <c r="E18" s="8">
        <f>SUM(C18:D18)</f>
        <v>18666399</v>
      </c>
      <c r="F18" s="101">
        <v>0</v>
      </c>
      <c r="G18" s="101">
        <v>0</v>
      </c>
      <c r="H18" s="8">
        <f>F18+G18</f>
        <v>0</v>
      </c>
      <c r="I18" s="8">
        <f aca="true" t="shared" si="1" ref="I18:K21">C18+F18</f>
        <v>18666399</v>
      </c>
      <c r="J18" s="8">
        <f t="shared" si="1"/>
        <v>0</v>
      </c>
      <c r="K18" s="8">
        <f t="shared" si="1"/>
        <v>18666399</v>
      </c>
    </row>
    <row r="19" spans="1:11" s="33" customFormat="1" ht="15" customHeight="1">
      <c r="A19" s="130">
        <v>60004</v>
      </c>
      <c r="B19" s="131" t="s">
        <v>119</v>
      </c>
      <c r="C19" s="132">
        <v>4861653</v>
      </c>
      <c r="D19" s="132">
        <v>0</v>
      </c>
      <c r="E19" s="109">
        <f>SUM(C19:D19)</f>
        <v>4861653</v>
      </c>
      <c r="F19" s="133">
        <f>SUM(F20:F20)</f>
        <v>2350</v>
      </c>
      <c r="G19" s="133">
        <v>0</v>
      </c>
      <c r="H19" s="109">
        <f>F19+G19</f>
        <v>2350</v>
      </c>
      <c r="I19" s="109">
        <f t="shared" si="1"/>
        <v>4864003</v>
      </c>
      <c r="J19" s="109">
        <f t="shared" si="1"/>
        <v>0</v>
      </c>
      <c r="K19" s="109">
        <f t="shared" si="1"/>
        <v>4864003</v>
      </c>
    </row>
    <row r="20" spans="1:11" s="59" customFormat="1" ht="15" customHeight="1">
      <c r="A20" s="127" t="s">
        <v>16</v>
      </c>
      <c r="B20" s="128" t="s">
        <v>17</v>
      </c>
      <c r="C20" s="129">
        <v>4099077</v>
      </c>
      <c r="D20" s="129">
        <v>0</v>
      </c>
      <c r="E20" s="114">
        <f>SUM(C20:D20)</f>
        <v>4099077</v>
      </c>
      <c r="F20" s="129">
        <v>2350</v>
      </c>
      <c r="G20" s="129">
        <v>0</v>
      </c>
      <c r="H20" s="114">
        <f>F20+G20</f>
        <v>2350</v>
      </c>
      <c r="I20" s="114">
        <f t="shared" si="1"/>
        <v>4101427</v>
      </c>
      <c r="J20" s="114">
        <f t="shared" si="1"/>
        <v>0</v>
      </c>
      <c r="K20" s="114">
        <f t="shared" si="1"/>
        <v>4101427</v>
      </c>
    </row>
    <row r="21" spans="1:11" s="95" customFormat="1" ht="15" customHeight="1">
      <c r="A21" s="115" t="s">
        <v>117</v>
      </c>
      <c r="B21" s="116" t="s">
        <v>118</v>
      </c>
      <c r="C21" s="117">
        <v>116020</v>
      </c>
      <c r="D21" s="117">
        <v>0</v>
      </c>
      <c r="E21" s="118">
        <f>SUM(C21:D21)</f>
        <v>116020</v>
      </c>
      <c r="F21" s="117">
        <f>F24</f>
        <v>-2500</v>
      </c>
      <c r="G21" s="117">
        <v>0</v>
      </c>
      <c r="H21" s="118">
        <f>F21+G21</f>
        <v>-2500</v>
      </c>
      <c r="I21" s="118">
        <f t="shared" si="1"/>
        <v>113520</v>
      </c>
      <c r="J21" s="118">
        <f t="shared" si="1"/>
        <v>0</v>
      </c>
      <c r="K21" s="118">
        <f t="shared" si="1"/>
        <v>113520</v>
      </c>
    </row>
    <row r="22" spans="1:11" s="99" customFormat="1" ht="15" customHeight="1">
      <c r="A22" s="119"/>
      <c r="B22" s="120" t="s">
        <v>10</v>
      </c>
      <c r="C22" s="121"/>
      <c r="D22" s="121"/>
      <c r="E22" s="122"/>
      <c r="F22" s="121"/>
      <c r="G22" s="121"/>
      <c r="H22" s="122"/>
      <c r="I22" s="122"/>
      <c r="J22" s="122"/>
      <c r="K22" s="122"/>
    </row>
    <row r="23" spans="1:11" s="102" customFormat="1" ht="15" customHeight="1">
      <c r="A23" s="123"/>
      <c r="B23" s="124" t="s">
        <v>76</v>
      </c>
      <c r="C23" s="125">
        <v>0</v>
      </c>
      <c r="D23" s="125">
        <v>0</v>
      </c>
      <c r="E23" s="126">
        <f>SUM(C23:D23)</f>
        <v>0</v>
      </c>
      <c r="F23" s="125">
        <v>0</v>
      </c>
      <c r="G23" s="125">
        <v>0</v>
      </c>
      <c r="H23" s="126">
        <f>F23+G23</f>
        <v>0</v>
      </c>
      <c r="I23" s="126">
        <f aca="true" t="shared" si="2" ref="I23:K25">C23+F23</f>
        <v>0</v>
      </c>
      <c r="J23" s="126">
        <f t="shared" si="2"/>
        <v>0</v>
      </c>
      <c r="K23" s="126">
        <f t="shared" si="2"/>
        <v>0</v>
      </c>
    </row>
    <row r="24" spans="1:11" s="79" customFormat="1" ht="15" customHeight="1">
      <c r="A24" s="111">
        <v>63095</v>
      </c>
      <c r="B24" s="112" t="s">
        <v>37</v>
      </c>
      <c r="C24" s="113">
        <v>116020</v>
      </c>
      <c r="D24" s="113">
        <v>0</v>
      </c>
      <c r="E24" s="114">
        <f>SUM(C24:D24)</f>
        <v>116020</v>
      </c>
      <c r="F24" s="84">
        <f>SUM(F25:F26)</f>
        <v>-2500</v>
      </c>
      <c r="G24" s="84">
        <v>0</v>
      </c>
      <c r="H24" s="114">
        <f>F24+G24</f>
        <v>-2500</v>
      </c>
      <c r="I24" s="114">
        <f t="shared" si="2"/>
        <v>113520</v>
      </c>
      <c r="J24" s="114">
        <f t="shared" si="2"/>
        <v>0</v>
      </c>
      <c r="K24" s="114">
        <f t="shared" si="2"/>
        <v>113520</v>
      </c>
    </row>
    <row r="25" spans="1:11" s="59" customFormat="1" ht="15" customHeight="1">
      <c r="A25" s="127" t="s">
        <v>21</v>
      </c>
      <c r="B25" s="128" t="s">
        <v>22</v>
      </c>
      <c r="C25" s="129">
        <v>18190</v>
      </c>
      <c r="D25" s="129">
        <v>0</v>
      </c>
      <c r="E25" s="114">
        <f>SUM(C25:D25)</f>
        <v>18190</v>
      </c>
      <c r="F25" s="129">
        <f>-1200-2000</f>
        <v>-3200</v>
      </c>
      <c r="G25" s="129">
        <v>0</v>
      </c>
      <c r="H25" s="114">
        <f>F25+G25</f>
        <v>-3200</v>
      </c>
      <c r="I25" s="114">
        <f t="shared" si="2"/>
        <v>14990</v>
      </c>
      <c r="J25" s="114">
        <f t="shared" si="2"/>
        <v>0</v>
      </c>
      <c r="K25" s="114">
        <f t="shared" si="2"/>
        <v>14990</v>
      </c>
    </row>
    <row r="26" spans="1:11" s="59" customFormat="1" ht="15" customHeight="1">
      <c r="A26" s="127" t="s">
        <v>16</v>
      </c>
      <c r="B26" s="128" t="s">
        <v>17</v>
      </c>
      <c r="C26" s="129">
        <v>97830</v>
      </c>
      <c r="D26" s="129">
        <v>0</v>
      </c>
      <c r="E26" s="114">
        <f>SUM(C26:D26)</f>
        <v>97830</v>
      </c>
      <c r="F26" s="129">
        <f>2200-1500</f>
        <v>700</v>
      </c>
      <c r="G26" s="129">
        <v>0</v>
      </c>
      <c r="H26" s="114">
        <f>F26+G26</f>
        <v>700</v>
      </c>
      <c r="I26" s="114">
        <f aca="true" t="shared" si="3" ref="I26:K27">C26+F26</f>
        <v>98530</v>
      </c>
      <c r="J26" s="114">
        <f t="shared" si="3"/>
        <v>0</v>
      </c>
      <c r="K26" s="114">
        <f t="shared" si="3"/>
        <v>98530</v>
      </c>
    </row>
    <row r="27" spans="1:11" s="19" customFormat="1" ht="15" customHeight="1">
      <c r="A27" s="9" t="s">
        <v>154</v>
      </c>
      <c r="B27" s="10" t="s">
        <v>157</v>
      </c>
      <c r="C27" s="11">
        <v>11891140</v>
      </c>
      <c r="D27" s="11">
        <v>0</v>
      </c>
      <c r="E27" s="4">
        <f>SUM(C27:D27)</f>
        <v>11891140</v>
      </c>
      <c r="F27" s="11">
        <f>F30+F32</f>
        <v>230000</v>
      </c>
      <c r="G27" s="11">
        <f>G30</f>
        <v>0</v>
      </c>
      <c r="H27" s="4">
        <f>F27+G27</f>
        <v>230000</v>
      </c>
      <c r="I27" s="4">
        <f t="shared" si="3"/>
        <v>12121140</v>
      </c>
      <c r="J27" s="4">
        <f t="shared" si="3"/>
        <v>0</v>
      </c>
      <c r="K27" s="4">
        <f t="shared" si="3"/>
        <v>12121140</v>
      </c>
    </row>
    <row r="28" spans="1:11" s="24" customFormat="1" ht="15" customHeight="1">
      <c r="A28" s="12"/>
      <c r="B28" s="13" t="s">
        <v>10</v>
      </c>
      <c r="C28" s="14"/>
      <c r="D28" s="14"/>
      <c r="E28" s="6"/>
      <c r="F28" s="14"/>
      <c r="G28" s="14"/>
      <c r="H28" s="6"/>
      <c r="I28" s="6"/>
      <c r="J28" s="6"/>
      <c r="K28" s="6"/>
    </row>
    <row r="29" spans="1:11" s="28" customFormat="1" ht="15" customHeight="1">
      <c r="A29" s="15"/>
      <c r="B29" s="16" t="s">
        <v>11</v>
      </c>
      <c r="C29" s="17">
        <v>7151000</v>
      </c>
      <c r="D29" s="17">
        <v>0</v>
      </c>
      <c r="E29" s="8">
        <f aca="true" t="shared" si="4" ref="E29:E34">SUM(C29:D29)</f>
        <v>7151000</v>
      </c>
      <c r="F29" s="17">
        <f>F33</f>
        <v>20000</v>
      </c>
      <c r="G29" s="17">
        <v>0</v>
      </c>
      <c r="H29" s="8">
        <f aca="true" t="shared" si="5" ref="H29:H34">F29+G29</f>
        <v>20000</v>
      </c>
      <c r="I29" s="8">
        <f aca="true" t="shared" si="6" ref="I29:K34">C29+F29</f>
        <v>7171000</v>
      </c>
      <c r="J29" s="8">
        <f t="shared" si="6"/>
        <v>0</v>
      </c>
      <c r="K29" s="8">
        <f t="shared" si="6"/>
        <v>7171000</v>
      </c>
    </row>
    <row r="30" spans="1:11" s="33" customFormat="1" ht="15" customHeight="1">
      <c r="A30" s="32">
        <v>70021</v>
      </c>
      <c r="B30" s="33" t="s">
        <v>155</v>
      </c>
      <c r="C30" s="20">
        <v>3907680</v>
      </c>
      <c r="D30" s="20">
        <v>0</v>
      </c>
      <c r="E30" s="21">
        <f t="shared" si="4"/>
        <v>3907680</v>
      </c>
      <c r="F30" s="22">
        <f>SUM(F31:F31)</f>
        <v>210000</v>
      </c>
      <c r="G30" s="22">
        <f>G31</f>
        <v>0</v>
      </c>
      <c r="H30" s="21">
        <f t="shared" si="5"/>
        <v>210000</v>
      </c>
      <c r="I30" s="21">
        <f t="shared" si="6"/>
        <v>4117680</v>
      </c>
      <c r="J30" s="21">
        <f t="shared" si="6"/>
        <v>0</v>
      </c>
      <c r="K30" s="21">
        <f t="shared" si="6"/>
        <v>4117680</v>
      </c>
    </row>
    <row r="31" spans="1:11" s="38" customFormat="1" ht="15" customHeight="1">
      <c r="A31" s="37" t="s">
        <v>26</v>
      </c>
      <c r="B31" s="38" t="s">
        <v>27</v>
      </c>
      <c r="C31" s="29">
        <v>3333000</v>
      </c>
      <c r="D31" s="29">
        <v>0</v>
      </c>
      <c r="E31" s="30">
        <f t="shared" si="4"/>
        <v>3333000</v>
      </c>
      <c r="F31" s="39">
        <v>210000</v>
      </c>
      <c r="G31" s="39">
        <v>0</v>
      </c>
      <c r="H31" s="30">
        <f t="shared" si="5"/>
        <v>210000</v>
      </c>
      <c r="I31" s="30">
        <f t="shared" si="6"/>
        <v>3543000</v>
      </c>
      <c r="J31" s="30">
        <f t="shared" si="6"/>
        <v>0</v>
      </c>
      <c r="K31" s="30">
        <f t="shared" si="6"/>
        <v>3543000</v>
      </c>
    </row>
    <row r="32" spans="1:11" s="33" customFormat="1" ht="15" customHeight="1">
      <c r="A32" s="32">
        <v>70095</v>
      </c>
      <c r="B32" s="33" t="s">
        <v>156</v>
      </c>
      <c r="C32" s="20">
        <v>6142460</v>
      </c>
      <c r="D32" s="20">
        <v>0</v>
      </c>
      <c r="E32" s="21">
        <f t="shared" si="4"/>
        <v>6142460</v>
      </c>
      <c r="F32" s="22">
        <f>SUM(F33:F33)</f>
        <v>20000</v>
      </c>
      <c r="G32" s="22">
        <f>G33</f>
        <v>0</v>
      </c>
      <c r="H32" s="21">
        <f t="shared" si="5"/>
        <v>20000</v>
      </c>
      <c r="I32" s="21">
        <f t="shared" si="6"/>
        <v>6162460</v>
      </c>
      <c r="J32" s="21">
        <f t="shared" si="6"/>
        <v>0</v>
      </c>
      <c r="K32" s="21">
        <f t="shared" si="6"/>
        <v>6162460</v>
      </c>
    </row>
    <row r="33" spans="1:11" s="35" customFormat="1" ht="15" customHeight="1">
      <c r="A33" s="34" t="s">
        <v>42</v>
      </c>
      <c r="B33" s="35" t="s">
        <v>43</v>
      </c>
      <c r="C33" s="25">
        <v>5679320</v>
      </c>
      <c r="D33" s="25">
        <v>0</v>
      </c>
      <c r="E33" s="26">
        <f t="shared" si="4"/>
        <v>5679320</v>
      </c>
      <c r="F33" s="27">
        <v>20000</v>
      </c>
      <c r="G33" s="27">
        <v>0</v>
      </c>
      <c r="H33" s="26">
        <f t="shared" si="5"/>
        <v>20000</v>
      </c>
      <c r="I33" s="26">
        <f t="shared" si="6"/>
        <v>5699320</v>
      </c>
      <c r="J33" s="26">
        <f t="shared" si="6"/>
        <v>0</v>
      </c>
      <c r="K33" s="26">
        <f t="shared" si="6"/>
        <v>5699320</v>
      </c>
    </row>
    <row r="34" spans="1:11" s="19" customFormat="1" ht="15" customHeight="1">
      <c r="A34" s="9" t="s">
        <v>106</v>
      </c>
      <c r="B34" s="10" t="s">
        <v>107</v>
      </c>
      <c r="C34" s="11">
        <v>1766970</v>
      </c>
      <c r="D34" s="11">
        <v>0</v>
      </c>
      <c r="E34" s="4">
        <f t="shared" si="4"/>
        <v>1766970</v>
      </c>
      <c r="F34" s="11">
        <f>F37+F39</f>
        <v>101000</v>
      </c>
      <c r="G34" s="11">
        <f>G37</f>
        <v>0</v>
      </c>
      <c r="H34" s="4">
        <f t="shared" si="5"/>
        <v>101000</v>
      </c>
      <c r="I34" s="4">
        <f t="shared" si="6"/>
        <v>1867970</v>
      </c>
      <c r="J34" s="4">
        <f t="shared" si="6"/>
        <v>0</v>
      </c>
      <c r="K34" s="4">
        <f t="shared" si="6"/>
        <v>1867970</v>
      </c>
    </row>
    <row r="35" spans="1:11" s="24" customFormat="1" ht="10.5" customHeight="1">
      <c r="A35" s="12"/>
      <c r="B35" s="13" t="s">
        <v>10</v>
      </c>
      <c r="C35" s="14"/>
      <c r="D35" s="14"/>
      <c r="E35" s="6"/>
      <c r="F35" s="14"/>
      <c r="G35" s="14"/>
      <c r="H35" s="6"/>
      <c r="I35" s="6"/>
      <c r="J35" s="6"/>
      <c r="K35" s="6"/>
    </row>
    <row r="36" spans="1:11" s="28" customFormat="1" ht="15" customHeight="1">
      <c r="A36" s="15"/>
      <c r="B36" s="16" t="s">
        <v>11</v>
      </c>
      <c r="C36" s="17">
        <v>126000</v>
      </c>
      <c r="D36" s="17">
        <v>0</v>
      </c>
      <c r="E36" s="8">
        <f aca="true" t="shared" si="7" ref="E36:E47">SUM(C36:D36)</f>
        <v>126000</v>
      </c>
      <c r="F36" s="17">
        <f>F46</f>
        <v>100000</v>
      </c>
      <c r="G36" s="17">
        <v>0</v>
      </c>
      <c r="H36" s="8">
        <f>F36+G36</f>
        <v>100000</v>
      </c>
      <c r="I36" s="8">
        <f aca="true" t="shared" si="8" ref="I36:K38">C36+F36</f>
        <v>226000</v>
      </c>
      <c r="J36" s="8">
        <f t="shared" si="8"/>
        <v>0</v>
      </c>
      <c r="K36" s="8">
        <f t="shared" si="8"/>
        <v>226000</v>
      </c>
    </row>
    <row r="37" spans="1:11" s="33" customFormat="1" ht="15" customHeight="1">
      <c r="A37" s="32">
        <v>71035</v>
      </c>
      <c r="B37" s="33" t="s">
        <v>108</v>
      </c>
      <c r="C37" s="20">
        <v>40000</v>
      </c>
      <c r="D37" s="20">
        <v>0</v>
      </c>
      <c r="E37" s="21">
        <f t="shared" si="7"/>
        <v>40000</v>
      </c>
      <c r="F37" s="22">
        <f>SUM(F38:F38)</f>
        <v>20000</v>
      </c>
      <c r="G37" s="22">
        <f>G38</f>
        <v>0</v>
      </c>
      <c r="H37" s="21">
        <f>F37+G37</f>
        <v>20000</v>
      </c>
      <c r="I37" s="21">
        <f t="shared" si="8"/>
        <v>60000</v>
      </c>
      <c r="J37" s="21">
        <f t="shared" si="8"/>
        <v>0</v>
      </c>
      <c r="K37" s="21">
        <f t="shared" si="8"/>
        <v>60000</v>
      </c>
    </row>
    <row r="38" spans="1:11" s="35" customFormat="1" ht="15" customHeight="1">
      <c r="A38" s="34" t="s">
        <v>26</v>
      </c>
      <c r="B38" s="35" t="s">
        <v>27</v>
      </c>
      <c r="C38" s="25">
        <v>40000</v>
      </c>
      <c r="D38" s="25">
        <v>0</v>
      </c>
      <c r="E38" s="26">
        <f t="shared" si="7"/>
        <v>40000</v>
      </c>
      <c r="F38" s="27">
        <v>20000</v>
      </c>
      <c r="G38" s="27">
        <v>0</v>
      </c>
      <c r="H38" s="26">
        <f>F38+G38</f>
        <v>20000</v>
      </c>
      <c r="I38" s="26">
        <f t="shared" si="8"/>
        <v>60000</v>
      </c>
      <c r="J38" s="26">
        <f t="shared" si="8"/>
        <v>0</v>
      </c>
      <c r="K38" s="26">
        <f t="shared" si="8"/>
        <v>60000</v>
      </c>
    </row>
    <row r="39" spans="1:11" s="86" customFormat="1" ht="15" customHeight="1">
      <c r="A39" s="85">
        <v>71095</v>
      </c>
      <c r="B39" s="86" t="s">
        <v>37</v>
      </c>
      <c r="C39" s="87">
        <v>1614370</v>
      </c>
      <c r="D39" s="87">
        <v>0</v>
      </c>
      <c r="E39" s="21">
        <f t="shared" si="7"/>
        <v>1614370</v>
      </c>
      <c r="F39" s="88">
        <f>SUM(F40:F46)</f>
        <v>81000</v>
      </c>
      <c r="G39" s="88">
        <v>0</v>
      </c>
      <c r="H39" s="21">
        <f aca="true" t="shared" si="9" ref="H39:H45">F39+G39</f>
        <v>81000</v>
      </c>
      <c r="I39" s="21">
        <f aca="true" t="shared" si="10" ref="I39:I46">C39+F39</f>
        <v>1695370</v>
      </c>
      <c r="J39" s="21">
        <f aca="true" t="shared" si="11" ref="J39:J46">D39+G39</f>
        <v>0</v>
      </c>
      <c r="K39" s="21">
        <f aca="true" t="shared" si="12" ref="K39:K47">E39+H39</f>
        <v>1695370</v>
      </c>
    </row>
    <row r="40" spans="1:11" s="35" customFormat="1" ht="15" customHeight="1">
      <c r="A40" s="127" t="s">
        <v>158</v>
      </c>
      <c r="B40" s="164" t="s">
        <v>167</v>
      </c>
      <c r="C40" s="81">
        <v>0</v>
      </c>
      <c r="D40" s="81">
        <v>0</v>
      </c>
      <c r="E40" s="114">
        <f t="shared" si="7"/>
        <v>0</v>
      </c>
      <c r="F40" s="129">
        <v>210</v>
      </c>
      <c r="G40" s="129">
        <v>0</v>
      </c>
      <c r="H40" s="114">
        <f t="shared" si="9"/>
        <v>210</v>
      </c>
      <c r="I40" s="114">
        <f t="shared" si="10"/>
        <v>210</v>
      </c>
      <c r="J40" s="114">
        <f t="shared" si="11"/>
        <v>0</v>
      </c>
      <c r="K40" s="114">
        <f t="shared" si="12"/>
        <v>210</v>
      </c>
    </row>
    <row r="41" spans="1:11" s="59" customFormat="1" ht="15" customHeight="1">
      <c r="A41" s="71" t="s">
        <v>56</v>
      </c>
      <c r="B41" s="59" t="s">
        <v>66</v>
      </c>
      <c r="C41" s="56">
        <v>17000</v>
      </c>
      <c r="D41" s="56">
        <v>0</v>
      </c>
      <c r="E41" s="57">
        <f t="shared" si="7"/>
        <v>17000</v>
      </c>
      <c r="F41" s="56">
        <v>-6000</v>
      </c>
      <c r="G41" s="56">
        <v>0</v>
      </c>
      <c r="H41" s="57">
        <f t="shared" si="9"/>
        <v>-6000</v>
      </c>
      <c r="I41" s="57">
        <f t="shared" si="10"/>
        <v>11000</v>
      </c>
      <c r="J41" s="57">
        <f t="shared" si="11"/>
        <v>0</v>
      </c>
      <c r="K41" s="57">
        <f t="shared" si="12"/>
        <v>11000</v>
      </c>
    </row>
    <row r="42" spans="1:11" s="35" customFormat="1" ht="15" customHeight="1">
      <c r="A42" s="34" t="s">
        <v>21</v>
      </c>
      <c r="B42" s="35" t="s">
        <v>22</v>
      </c>
      <c r="C42" s="25">
        <v>70000</v>
      </c>
      <c r="D42" s="25">
        <v>0</v>
      </c>
      <c r="E42" s="26">
        <f t="shared" si="7"/>
        <v>70000</v>
      </c>
      <c r="F42" s="27">
        <v>-3330</v>
      </c>
      <c r="G42" s="27">
        <v>0</v>
      </c>
      <c r="H42" s="26">
        <f t="shared" si="9"/>
        <v>-3330</v>
      </c>
      <c r="I42" s="26">
        <f t="shared" si="10"/>
        <v>66670</v>
      </c>
      <c r="J42" s="26">
        <f t="shared" si="11"/>
        <v>0</v>
      </c>
      <c r="K42" s="26">
        <f t="shared" si="12"/>
        <v>66670</v>
      </c>
    </row>
    <row r="43" spans="1:11" ht="15" customHeight="1">
      <c r="A43" s="34" t="s">
        <v>23</v>
      </c>
      <c r="B43" s="35" t="s">
        <v>24</v>
      </c>
      <c r="C43" s="27">
        <v>18270</v>
      </c>
      <c r="D43" s="27">
        <v>0</v>
      </c>
      <c r="E43" s="26">
        <f t="shared" si="7"/>
        <v>18270</v>
      </c>
      <c r="F43" s="27">
        <v>2000</v>
      </c>
      <c r="G43" s="27">
        <v>0</v>
      </c>
      <c r="H43" s="26">
        <f t="shared" si="9"/>
        <v>2000</v>
      </c>
      <c r="I43" s="26">
        <f t="shared" si="10"/>
        <v>20270</v>
      </c>
      <c r="J43" s="26">
        <f t="shared" si="11"/>
        <v>0</v>
      </c>
      <c r="K43" s="26">
        <f t="shared" si="12"/>
        <v>20270</v>
      </c>
    </row>
    <row r="44" spans="1:11" s="40" customFormat="1" ht="15" customHeight="1">
      <c r="A44" s="34" t="s">
        <v>26</v>
      </c>
      <c r="B44" s="35" t="s">
        <v>27</v>
      </c>
      <c r="C44" s="27">
        <v>17000</v>
      </c>
      <c r="D44" s="27">
        <v>0</v>
      </c>
      <c r="E44" s="26">
        <f t="shared" si="7"/>
        <v>17000</v>
      </c>
      <c r="F44" s="27">
        <v>-12000</v>
      </c>
      <c r="G44" s="27">
        <v>0</v>
      </c>
      <c r="H44" s="26">
        <f t="shared" si="9"/>
        <v>-12000</v>
      </c>
      <c r="I44" s="26">
        <f t="shared" si="10"/>
        <v>5000</v>
      </c>
      <c r="J44" s="26">
        <f t="shared" si="11"/>
        <v>0</v>
      </c>
      <c r="K44" s="26">
        <f t="shared" si="12"/>
        <v>5000</v>
      </c>
    </row>
    <row r="45" spans="1:11" s="42" customFormat="1" ht="15" customHeight="1">
      <c r="A45" s="71" t="s">
        <v>159</v>
      </c>
      <c r="B45" s="59" t="s">
        <v>160</v>
      </c>
      <c r="C45" s="56">
        <v>0</v>
      </c>
      <c r="D45" s="56">
        <v>0</v>
      </c>
      <c r="E45" s="57">
        <f t="shared" si="7"/>
        <v>0</v>
      </c>
      <c r="F45" s="56">
        <v>120</v>
      </c>
      <c r="G45" s="56">
        <v>0</v>
      </c>
      <c r="H45" s="57">
        <f t="shared" si="9"/>
        <v>120</v>
      </c>
      <c r="I45" s="57">
        <f t="shared" si="10"/>
        <v>120</v>
      </c>
      <c r="J45" s="57">
        <f t="shared" si="11"/>
        <v>0</v>
      </c>
      <c r="K45" s="57">
        <f t="shared" si="12"/>
        <v>120</v>
      </c>
    </row>
    <row r="46" spans="1:11" s="35" customFormat="1" ht="15" customHeight="1">
      <c r="A46" s="34" t="s">
        <v>42</v>
      </c>
      <c r="B46" s="35" t="s">
        <v>43</v>
      </c>
      <c r="C46" s="25">
        <v>100000</v>
      </c>
      <c r="D46" s="25">
        <v>0</v>
      </c>
      <c r="E46" s="26">
        <f t="shared" si="7"/>
        <v>100000</v>
      </c>
      <c r="F46" s="27">
        <f>19000+81000</f>
        <v>100000</v>
      </c>
      <c r="G46" s="27">
        <v>0</v>
      </c>
      <c r="H46" s="26">
        <f>F46+G46</f>
        <v>100000</v>
      </c>
      <c r="I46" s="26">
        <f t="shared" si="10"/>
        <v>200000</v>
      </c>
      <c r="J46" s="26">
        <f t="shared" si="11"/>
        <v>0</v>
      </c>
      <c r="K46" s="26">
        <f t="shared" si="12"/>
        <v>200000</v>
      </c>
    </row>
    <row r="47" spans="1:11" s="19" customFormat="1" ht="15" customHeight="1">
      <c r="A47" s="9" t="s">
        <v>51</v>
      </c>
      <c r="B47" s="10" t="s">
        <v>52</v>
      </c>
      <c r="C47" s="11">
        <v>16765807</v>
      </c>
      <c r="D47" s="11">
        <v>454557</v>
      </c>
      <c r="E47" s="4">
        <f t="shared" si="7"/>
        <v>17220364</v>
      </c>
      <c r="F47" s="11">
        <v>0</v>
      </c>
      <c r="G47" s="11">
        <v>0</v>
      </c>
      <c r="H47" s="4">
        <f>F47+G47</f>
        <v>0</v>
      </c>
      <c r="I47" s="4">
        <f>C47+F47</f>
        <v>16765807</v>
      </c>
      <c r="J47" s="4">
        <f>D47+G47</f>
        <v>454557</v>
      </c>
      <c r="K47" s="4">
        <f t="shared" si="12"/>
        <v>17220364</v>
      </c>
    </row>
    <row r="48" spans="1:11" s="24" customFormat="1" ht="12" customHeight="1">
      <c r="A48" s="12"/>
      <c r="B48" s="13" t="s">
        <v>10</v>
      </c>
      <c r="C48" s="14"/>
      <c r="D48" s="14"/>
      <c r="E48" s="6"/>
      <c r="F48" s="14"/>
      <c r="G48" s="14"/>
      <c r="H48" s="6"/>
      <c r="I48" s="6"/>
      <c r="J48" s="6"/>
      <c r="K48" s="6"/>
    </row>
    <row r="49" spans="1:11" s="28" customFormat="1" ht="15" customHeight="1">
      <c r="A49" s="15"/>
      <c r="B49" s="7" t="s">
        <v>76</v>
      </c>
      <c r="C49" s="17">
        <v>1695000</v>
      </c>
      <c r="D49" s="17">
        <v>0</v>
      </c>
      <c r="E49" s="8">
        <f>SUM(C49:D49)</f>
        <v>1695000</v>
      </c>
      <c r="F49" s="17">
        <v>0</v>
      </c>
      <c r="G49" s="17">
        <v>0</v>
      </c>
      <c r="H49" s="8">
        <f>F49+G49</f>
        <v>0</v>
      </c>
      <c r="I49" s="8">
        <f aca="true" t="shared" si="13" ref="I49:K53">C49+F49</f>
        <v>1695000</v>
      </c>
      <c r="J49" s="8">
        <f t="shared" si="13"/>
        <v>0</v>
      </c>
      <c r="K49" s="8">
        <f t="shared" si="13"/>
        <v>1695000</v>
      </c>
    </row>
    <row r="50" spans="1:11" s="148" customFormat="1" ht="15" customHeight="1">
      <c r="A50" s="144">
        <v>75075</v>
      </c>
      <c r="B50" s="145" t="s">
        <v>152</v>
      </c>
      <c r="C50" s="132">
        <v>233800</v>
      </c>
      <c r="D50" s="132">
        <v>0</v>
      </c>
      <c r="E50" s="109">
        <f>SUM(C50:D50)</f>
        <v>233800</v>
      </c>
      <c r="F50" s="132">
        <f>SUM(F51:F52)</f>
        <v>0</v>
      </c>
      <c r="G50" s="132">
        <f>SUM(G52:G52)</f>
        <v>0</v>
      </c>
      <c r="H50" s="109">
        <f>F50+G50</f>
        <v>0</v>
      </c>
      <c r="I50" s="109">
        <f t="shared" si="13"/>
        <v>233800</v>
      </c>
      <c r="J50" s="109">
        <f t="shared" si="13"/>
        <v>0</v>
      </c>
      <c r="K50" s="109">
        <f t="shared" si="13"/>
        <v>233800</v>
      </c>
    </row>
    <row r="51" spans="1:11" s="59" customFormat="1" ht="15" customHeight="1">
      <c r="A51" s="146" t="s">
        <v>21</v>
      </c>
      <c r="B51" s="147" t="s">
        <v>22</v>
      </c>
      <c r="C51" s="81">
        <v>13800</v>
      </c>
      <c r="D51" s="81">
        <v>0</v>
      </c>
      <c r="E51" s="114">
        <f>SUM(C51:D51)</f>
        <v>13800</v>
      </c>
      <c r="F51" s="81">
        <v>3000</v>
      </c>
      <c r="G51" s="81">
        <v>0</v>
      </c>
      <c r="H51" s="114">
        <f>F51+G51</f>
        <v>3000</v>
      </c>
      <c r="I51" s="114">
        <f t="shared" si="13"/>
        <v>16800</v>
      </c>
      <c r="J51" s="114">
        <f t="shared" si="13"/>
        <v>0</v>
      </c>
      <c r="K51" s="114">
        <f t="shared" si="13"/>
        <v>16800</v>
      </c>
    </row>
    <row r="52" spans="1:11" s="78" customFormat="1" ht="15" customHeight="1">
      <c r="A52" s="134" t="s">
        <v>16</v>
      </c>
      <c r="B52" s="149" t="s">
        <v>17</v>
      </c>
      <c r="C52" s="104">
        <v>217500</v>
      </c>
      <c r="D52" s="104">
        <v>0</v>
      </c>
      <c r="E52" s="135">
        <f>SUM(C52:D52)</f>
        <v>217500</v>
      </c>
      <c r="F52" s="82">
        <v>-3000</v>
      </c>
      <c r="G52" s="82">
        <v>0</v>
      </c>
      <c r="H52" s="135">
        <f>F52+G52</f>
        <v>-3000</v>
      </c>
      <c r="I52" s="135">
        <f t="shared" si="13"/>
        <v>214500</v>
      </c>
      <c r="J52" s="135">
        <f t="shared" si="13"/>
        <v>0</v>
      </c>
      <c r="K52" s="135">
        <f t="shared" si="13"/>
        <v>214500</v>
      </c>
    </row>
    <row r="53" spans="1:11" s="19" customFormat="1" ht="15" customHeight="1">
      <c r="A53" s="9" t="s">
        <v>40</v>
      </c>
      <c r="B53" s="10" t="s">
        <v>41</v>
      </c>
      <c r="C53" s="11">
        <v>2543770</v>
      </c>
      <c r="D53" s="11">
        <v>3230</v>
      </c>
      <c r="E53" s="4">
        <f>SUM(C53:D53)</f>
        <v>2547000</v>
      </c>
      <c r="F53" s="11">
        <f>F63</f>
        <v>-215000</v>
      </c>
      <c r="G53" s="11">
        <v>0</v>
      </c>
      <c r="H53" s="4">
        <f>F53+G53</f>
        <v>-215000</v>
      </c>
      <c r="I53" s="4">
        <f t="shared" si="13"/>
        <v>2328770</v>
      </c>
      <c r="J53" s="4">
        <f t="shared" si="13"/>
        <v>3230</v>
      </c>
      <c r="K53" s="4">
        <f t="shared" si="13"/>
        <v>2332000</v>
      </c>
    </row>
    <row r="54" spans="1:11" s="24" customFormat="1" ht="12" customHeight="1">
      <c r="A54" s="12"/>
      <c r="B54" s="13" t="s">
        <v>10</v>
      </c>
      <c r="C54" s="14"/>
      <c r="D54" s="14"/>
      <c r="E54" s="6"/>
      <c r="F54" s="14"/>
      <c r="G54" s="14"/>
      <c r="H54" s="6"/>
      <c r="I54" s="6"/>
      <c r="J54" s="6"/>
      <c r="K54" s="6"/>
    </row>
    <row r="55" spans="1:11" s="28" customFormat="1" ht="15" customHeight="1">
      <c r="A55" s="15"/>
      <c r="B55" s="16" t="s">
        <v>11</v>
      </c>
      <c r="C55" s="17">
        <v>496000</v>
      </c>
      <c r="D55" s="17">
        <v>0</v>
      </c>
      <c r="E55" s="8">
        <f aca="true" t="shared" si="14" ref="E55:E62">SUM(C55:D55)</f>
        <v>496000</v>
      </c>
      <c r="F55" s="17">
        <f>F64</f>
        <v>-215000</v>
      </c>
      <c r="G55" s="17">
        <v>0</v>
      </c>
      <c r="H55" s="8">
        <f aca="true" t="shared" si="15" ref="H55:H62">F55+G55</f>
        <v>-215000</v>
      </c>
      <c r="I55" s="8">
        <f aca="true" t="shared" si="16" ref="I55:K64">C55+F55</f>
        <v>281000</v>
      </c>
      <c r="J55" s="8">
        <f t="shared" si="16"/>
        <v>0</v>
      </c>
      <c r="K55" s="8">
        <f t="shared" si="16"/>
        <v>281000</v>
      </c>
    </row>
    <row r="56" spans="1:11" s="86" customFormat="1" ht="15" customHeight="1">
      <c r="A56" s="85">
        <v>75416</v>
      </c>
      <c r="B56" s="86" t="s">
        <v>144</v>
      </c>
      <c r="C56" s="87">
        <v>1735120</v>
      </c>
      <c r="D56" s="87">
        <v>0</v>
      </c>
      <c r="E56" s="21">
        <f t="shared" si="14"/>
        <v>1735120</v>
      </c>
      <c r="F56" s="88">
        <f>SUM(F57:F62)</f>
        <v>0</v>
      </c>
      <c r="G56" s="88">
        <v>0</v>
      </c>
      <c r="H56" s="21">
        <f t="shared" si="15"/>
        <v>0</v>
      </c>
      <c r="I56" s="21">
        <f t="shared" si="16"/>
        <v>1735120</v>
      </c>
      <c r="J56" s="21">
        <f t="shared" si="16"/>
        <v>0</v>
      </c>
      <c r="K56" s="21">
        <f t="shared" si="16"/>
        <v>1735120</v>
      </c>
    </row>
    <row r="57" spans="1:11" s="55" customFormat="1" ht="15" customHeight="1">
      <c r="A57" s="54" t="s">
        <v>20</v>
      </c>
      <c r="B57" s="55" t="s">
        <v>44</v>
      </c>
      <c r="C57" s="56">
        <v>1109500</v>
      </c>
      <c r="D57" s="56">
        <v>0</v>
      </c>
      <c r="E57" s="57">
        <f t="shared" si="14"/>
        <v>1109500</v>
      </c>
      <c r="F57" s="58">
        <v>-3100</v>
      </c>
      <c r="G57" s="58">
        <v>0</v>
      </c>
      <c r="H57" s="57">
        <f t="shared" si="15"/>
        <v>-3100</v>
      </c>
      <c r="I57" s="57">
        <f t="shared" si="16"/>
        <v>1106400</v>
      </c>
      <c r="J57" s="57">
        <f t="shared" si="16"/>
        <v>0</v>
      </c>
      <c r="K57" s="57">
        <f t="shared" si="16"/>
        <v>1106400</v>
      </c>
    </row>
    <row r="58" spans="1:11" s="59" customFormat="1" ht="15" customHeight="1">
      <c r="A58" s="71" t="s">
        <v>56</v>
      </c>
      <c r="B58" s="59" t="s">
        <v>66</v>
      </c>
      <c r="C58" s="56">
        <v>5000</v>
      </c>
      <c r="D58" s="56">
        <v>0</v>
      </c>
      <c r="E58" s="57">
        <f t="shared" si="14"/>
        <v>5000</v>
      </c>
      <c r="F58" s="56">
        <v>3100</v>
      </c>
      <c r="G58" s="56">
        <v>0</v>
      </c>
      <c r="H58" s="57">
        <f t="shared" si="15"/>
        <v>3100</v>
      </c>
      <c r="I58" s="57">
        <f t="shared" si="16"/>
        <v>8100</v>
      </c>
      <c r="J58" s="57">
        <f t="shared" si="16"/>
        <v>0</v>
      </c>
      <c r="K58" s="57">
        <f t="shared" si="16"/>
        <v>8100</v>
      </c>
    </row>
    <row r="59" spans="1:11" s="35" customFormat="1" ht="15" customHeight="1">
      <c r="A59" s="34" t="s">
        <v>21</v>
      </c>
      <c r="B59" s="35" t="s">
        <v>22</v>
      </c>
      <c r="C59" s="25">
        <v>80000</v>
      </c>
      <c r="D59" s="25">
        <v>0</v>
      </c>
      <c r="E59" s="26">
        <f t="shared" si="14"/>
        <v>80000</v>
      </c>
      <c r="F59" s="27">
        <v>8023</v>
      </c>
      <c r="G59" s="27">
        <v>0</v>
      </c>
      <c r="H59" s="26">
        <f t="shared" si="15"/>
        <v>8023</v>
      </c>
      <c r="I59" s="26">
        <f t="shared" si="16"/>
        <v>88023</v>
      </c>
      <c r="J59" s="26">
        <f t="shared" si="16"/>
        <v>0</v>
      </c>
      <c r="K59" s="26">
        <f t="shared" si="16"/>
        <v>88023</v>
      </c>
    </row>
    <row r="60" spans="1:11" s="40" customFormat="1" ht="15" customHeight="1">
      <c r="A60" s="34" t="s">
        <v>16</v>
      </c>
      <c r="B60" s="35" t="s">
        <v>17</v>
      </c>
      <c r="C60" s="27">
        <v>97995</v>
      </c>
      <c r="D60" s="27">
        <v>0</v>
      </c>
      <c r="E60" s="26">
        <f t="shared" si="14"/>
        <v>97995</v>
      </c>
      <c r="F60" s="27">
        <v>-4995</v>
      </c>
      <c r="G60" s="27">
        <v>0</v>
      </c>
      <c r="H60" s="26">
        <f t="shared" si="15"/>
        <v>-4995</v>
      </c>
      <c r="I60" s="26">
        <f t="shared" si="16"/>
        <v>93000</v>
      </c>
      <c r="J60" s="26">
        <f t="shared" si="16"/>
        <v>0</v>
      </c>
      <c r="K60" s="26">
        <f t="shared" si="16"/>
        <v>93000</v>
      </c>
    </row>
    <row r="61" spans="1:11" s="40" customFormat="1" ht="15" customHeight="1">
      <c r="A61" s="34" t="s">
        <v>61</v>
      </c>
      <c r="B61" s="35" t="s">
        <v>62</v>
      </c>
      <c r="C61" s="27">
        <v>5000</v>
      </c>
      <c r="D61" s="27">
        <v>0</v>
      </c>
      <c r="E61" s="26">
        <f t="shared" si="14"/>
        <v>5000</v>
      </c>
      <c r="F61" s="27">
        <v>-1000</v>
      </c>
      <c r="G61" s="27">
        <v>0</v>
      </c>
      <c r="H61" s="26">
        <f t="shared" si="15"/>
        <v>-1000</v>
      </c>
      <c r="I61" s="26">
        <f t="shared" si="16"/>
        <v>4000</v>
      </c>
      <c r="J61" s="26">
        <f t="shared" si="16"/>
        <v>0</v>
      </c>
      <c r="K61" s="26">
        <f>E61+H61</f>
        <v>4000</v>
      </c>
    </row>
    <row r="62" spans="1:11" s="78" customFormat="1" ht="15" customHeight="1">
      <c r="A62" s="183" t="s">
        <v>126</v>
      </c>
      <c r="B62" s="83" t="s">
        <v>142</v>
      </c>
      <c r="C62" s="184">
        <v>2500</v>
      </c>
      <c r="D62" s="184">
        <v>0</v>
      </c>
      <c r="E62" s="61">
        <f t="shared" si="14"/>
        <v>2500</v>
      </c>
      <c r="F62" s="184">
        <v>-2028</v>
      </c>
      <c r="G62" s="184">
        <v>0</v>
      </c>
      <c r="H62" s="61">
        <f t="shared" si="15"/>
        <v>-2028</v>
      </c>
      <c r="I62" s="61">
        <f t="shared" si="16"/>
        <v>472</v>
      </c>
      <c r="J62" s="61">
        <f t="shared" si="16"/>
        <v>0</v>
      </c>
      <c r="K62" s="61">
        <f>E62+H62</f>
        <v>472</v>
      </c>
    </row>
    <row r="63" spans="1:11" s="33" customFormat="1" ht="15" customHeight="1">
      <c r="A63" s="32">
        <v>75495</v>
      </c>
      <c r="B63" s="33" t="s">
        <v>145</v>
      </c>
      <c r="C63" s="20">
        <v>734650</v>
      </c>
      <c r="D63" s="20">
        <v>0</v>
      </c>
      <c r="E63" s="21">
        <f>SUM(C63:D63)</f>
        <v>734650</v>
      </c>
      <c r="F63" s="22">
        <f>SUM(F64:F64)</f>
        <v>-215000</v>
      </c>
      <c r="G63" s="22">
        <f>G64</f>
        <v>0</v>
      </c>
      <c r="H63" s="21">
        <f>F63+G63</f>
        <v>-215000</v>
      </c>
      <c r="I63" s="21">
        <f t="shared" si="16"/>
        <v>519650</v>
      </c>
      <c r="J63" s="21">
        <f t="shared" si="16"/>
        <v>0</v>
      </c>
      <c r="K63" s="21">
        <f>E63+H63</f>
        <v>519650</v>
      </c>
    </row>
    <row r="64" spans="1:11" s="35" customFormat="1" ht="15" customHeight="1">
      <c r="A64" s="34" t="s">
        <v>42</v>
      </c>
      <c r="B64" s="35" t="s">
        <v>43</v>
      </c>
      <c r="C64" s="25">
        <v>430000</v>
      </c>
      <c r="D64" s="25">
        <v>0</v>
      </c>
      <c r="E64" s="26">
        <f>SUM(C64:D64)</f>
        <v>430000</v>
      </c>
      <c r="F64" s="27">
        <f>30000-245000</f>
        <v>-215000</v>
      </c>
      <c r="G64" s="27">
        <v>0</v>
      </c>
      <c r="H64" s="26">
        <f>F64+G64</f>
        <v>-215000</v>
      </c>
      <c r="I64" s="26">
        <f t="shared" si="16"/>
        <v>215000</v>
      </c>
      <c r="J64" s="26">
        <f t="shared" si="16"/>
        <v>0</v>
      </c>
      <c r="K64" s="26">
        <f>E64+H64</f>
        <v>215000</v>
      </c>
    </row>
    <row r="65" spans="1:11" s="95" customFormat="1" ht="15" customHeight="1">
      <c r="A65" s="115" t="s">
        <v>49</v>
      </c>
      <c r="B65" s="116" t="s">
        <v>50</v>
      </c>
      <c r="C65" s="117">
        <v>1449079</v>
      </c>
      <c r="D65" s="117">
        <v>0</v>
      </c>
      <c r="E65" s="118">
        <f>SUM(C65:D65)</f>
        <v>1449079</v>
      </c>
      <c r="F65" s="117">
        <f>F68</f>
        <v>5511</v>
      </c>
      <c r="G65" s="117">
        <v>0</v>
      </c>
      <c r="H65" s="118">
        <f>F65+G65</f>
        <v>5511</v>
      </c>
      <c r="I65" s="118">
        <f>C65+F65</f>
        <v>1454590</v>
      </c>
      <c r="J65" s="118">
        <f>D65+G65</f>
        <v>0</v>
      </c>
      <c r="K65" s="118">
        <f>E65+H65</f>
        <v>1454590</v>
      </c>
    </row>
    <row r="66" spans="1:11" s="99" customFormat="1" ht="15" customHeight="1">
      <c r="A66" s="119"/>
      <c r="B66" s="120" t="s">
        <v>10</v>
      </c>
      <c r="C66" s="121"/>
      <c r="D66" s="121"/>
      <c r="E66" s="122"/>
      <c r="F66" s="121"/>
      <c r="G66" s="121"/>
      <c r="H66" s="122"/>
      <c r="I66" s="122"/>
      <c r="J66" s="122"/>
      <c r="K66" s="122"/>
    </row>
    <row r="67" spans="1:11" s="102" customFormat="1" ht="15" customHeight="1">
      <c r="A67" s="123"/>
      <c r="B67" s="124" t="s">
        <v>76</v>
      </c>
      <c r="C67" s="125">
        <v>169951</v>
      </c>
      <c r="D67" s="125">
        <v>0</v>
      </c>
      <c r="E67" s="126">
        <f>SUM(C67:D67)</f>
        <v>169951</v>
      </c>
      <c r="F67" s="125">
        <v>0</v>
      </c>
      <c r="G67" s="125">
        <v>0</v>
      </c>
      <c r="H67" s="126">
        <f>F67+G67</f>
        <v>0</v>
      </c>
      <c r="I67" s="126">
        <f>C67+F67</f>
        <v>169951</v>
      </c>
      <c r="J67" s="126">
        <f>D67+G67</f>
        <v>0</v>
      </c>
      <c r="K67" s="126">
        <f>E67+H67</f>
        <v>169951</v>
      </c>
    </row>
    <row r="68" spans="1:11" s="86" customFormat="1" ht="15" customHeight="1">
      <c r="A68" s="106">
        <v>75818</v>
      </c>
      <c r="B68" s="107" t="s">
        <v>57</v>
      </c>
      <c r="C68" s="108">
        <v>1381079</v>
      </c>
      <c r="D68" s="108">
        <v>0</v>
      </c>
      <c r="E68" s="109">
        <f>SUM(C68:D68)</f>
        <v>1381079</v>
      </c>
      <c r="F68" s="110">
        <f>SUM(F69:F70)</f>
        <v>5511</v>
      </c>
      <c r="G68" s="110">
        <v>0</v>
      </c>
      <c r="H68" s="109">
        <f>F68+G68</f>
        <v>5511</v>
      </c>
      <c r="I68" s="109">
        <f aca="true" t="shared" si="17" ref="I68:K69">C68+F68</f>
        <v>1386590</v>
      </c>
      <c r="J68" s="109">
        <f t="shared" si="17"/>
        <v>0</v>
      </c>
      <c r="K68" s="109">
        <f t="shared" si="17"/>
        <v>1386590</v>
      </c>
    </row>
    <row r="69" spans="1:11" s="90" customFormat="1" ht="15" customHeight="1">
      <c r="A69" s="111" t="s">
        <v>58</v>
      </c>
      <c r="B69" s="112" t="s">
        <v>149</v>
      </c>
      <c r="C69" s="113">
        <v>469586</v>
      </c>
      <c r="D69" s="113">
        <v>0</v>
      </c>
      <c r="E69" s="114">
        <f>SUM(C69:D69)</f>
        <v>469586</v>
      </c>
      <c r="F69" s="84">
        <v>-14489</v>
      </c>
      <c r="G69" s="84">
        <v>0</v>
      </c>
      <c r="H69" s="114">
        <f>F69+G69</f>
        <v>-14489</v>
      </c>
      <c r="I69" s="114">
        <f t="shared" si="17"/>
        <v>455097</v>
      </c>
      <c r="J69" s="114">
        <f t="shared" si="17"/>
        <v>0</v>
      </c>
      <c r="K69" s="114">
        <f t="shared" si="17"/>
        <v>455097</v>
      </c>
    </row>
    <row r="70" spans="1:11" s="90" customFormat="1" ht="15" customHeight="1">
      <c r="A70" s="111" t="s">
        <v>58</v>
      </c>
      <c r="B70" s="112" t="s">
        <v>163</v>
      </c>
      <c r="C70" s="113">
        <v>46052</v>
      </c>
      <c r="D70" s="113">
        <v>0</v>
      </c>
      <c r="E70" s="114">
        <f>SUM(C70:D70)</f>
        <v>46052</v>
      </c>
      <c r="F70" s="84">
        <v>20000</v>
      </c>
      <c r="G70" s="84">
        <v>0</v>
      </c>
      <c r="H70" s="114">
        <f>F70+G70</f>
        <v>20000</v>
      </c>
      <c r="I70" s="114">
        <f aca="true" t="shared" si="18" ref="I70:K71">C70+F70</f>
        <v>66052</v>
      </c>
      <c r="J70" s="114">
        <f t="shared" si="18"/>
        <v>0</v>
      </c>
      <c r="K70" s="114">
        <f t="shared" si="18"/>
        <v>66052</v>
      </c>
    </row>
    <row r="71" spans="1:11" ht="15" customHeight="1">
      <c r="A71" s="9" t="s">
        <v>28</v>
      </c>
      <c r="B71" s="10" t="s">
        <v>29</v>
      </c>
      <c r="C71" s="11">
        <v>45550639</v>
      </c>
      <c r="D71" s="11">
        <v>196892</v>
      </c>
      <c r="E71" s="4">
        <f>SUM(C71:D71)</f>
        <v>45747531</v>
      </c>
      <c r="F71" s="11">
        <f>F74+F82+F86+F93+F97+F100</f>
        <v>65305</v>
      </c>
      <c r="G71" s="11">
        <v>0</v>
      </c>
      <c r="H71" s="4">
        <f>F71+G71</f>
        <v>65305</v>
      </c>
      <c r="I71" s="4">
        <f t="shared" si="18"/>
        <v>45615944</v>
      </c>
      <c r="J71" s="4">
        <f t="shared" si="18"/>
        <v>196892</v>
      </c>
      <c r="K71" s="4">
        <f t="shared" si="18"/>
        <v>45812836</v>
      </c>
    </row>
    <row r="72" spans="1:11" ht="15" customHeight="1">
      <c r="A72" s="12"/>
      <c r="B72" s="13" t="s">
        <v>10</v>
      </c>
      <c r="C72" s="14"/>
      <c r="D72" s="14"/>
      <c r="E72" s="6"/>
      <c r="F72" s="14"/>
      <c r="G72" s="14"/>
      <c r="H72" s="6"/>
      <c r="I72" s="6"/>
      <c r="J72" s="6"/>
      <c r="K72" s="6"/>
    </row>
    <row r="73" spans="1:11" ht="15" customHeight="1">
      <c r="A73" s="15"/>
      <c r="B73" s="7" t="s">
        <v>76</v>
      </c>
      <c r="C73" s="17">
        <v>3632840</v>
      </c>
      <c r="D73" s="17">
        <v>0</v>
      </c>
      <c r="E73" s="8">
        <f>SUM(C73:D73)</f>
        <v>3632840</v>
      </c>
      <c r="F73" s="17">
        <v>0</v>
      </c>
      <c r="G73" s="17">
        <v>0</v>
      </c>
      <c r="H73" s="8">
        <f aca="true" t="shared" si="19" ref="H73:H84">F73+G73</f>
        <v>0</v>
      </c>
      <c r="I73" s="8">
        <f>C73+F73</f>
        <v>3632840</v>
      </c>
      <c r="J73" s="8">
        <f>D73+G73</f>
        <v>0</v>
      </c>
      <c r="K73" s="8">
        <f>E73+H73</f>
        <v>3632840</v>
      </c>
    </row>
    <row r="74" spans="1:11" s="33" customFormat="1" ht="15" customHeight="1">
      <c r="A74" s="32">
        <v>80101</v>
      </c>
      <c r="B74" s="33" t="s">
        <v>30</v>
      </c>
      <c r="C74" s="20">
        <v>19148707</v>
      </c>
      <c r="D74" s="20">
        <v>12116</v>
      </c>
      <c r="E74" s="21">
        <f aca="true" t="shared" si="20" ref="E74:E88">SUM(C74:D74)</f>
        <v>19160823</v>
      </c>
      <c r="F74" s="22">
        <f>SUM(F75:F81)</f>
        <v>-16187</v>
      </c>
      <c r="G74" s="22">
        <v>0</v>
      </c>
      <c r="H74" s="21">
        <f t="shared" si="19"/>
        <v>-16187</v>
      </c>
      <c r="I74" s="21">
        <f aca="true" t="shared" si="21" ref="I74:K78">C74+F74</f>
        <v>19132520</v>
      </c>
      <c r="J74" s="21">
        <f t="shared" si="21"/>
        <v>12116</v>
      </c>
      <c r="K74" s="21">
        <f t="shared" si="21"/>
        <v>19144636</v>
      </c>
    </row>
    <row r="75" spans="1:11" s="55" customFormat="1" ht="15" customHeight="1">
      <c r="A75" s="54" t="s">
        <v>20</v>
      </c>
      <c r="B75" s="55" t="s">
        <v>44</v>
      </c>
      <c r="C75" s="56">
        <v>11173619</v>
      </c>
      <c r="D75" s="56">
        <v>0</v>
      </c>
      <c r="E75" s="57">
        <f t="shared" si="20"/>
        <v>11173619</v>
      </c>
      <c r="F75" s="58">
        <f>-18400-3000+141</f>
        <v>-21259</v>
      </c>
      <c r="G75" s="58">
        <v>0</v>
      </c>
      <c r="H75" s="57">
        <f t="shared" si="19"/>
        <v>-21259</v>
      </c>
      <c r="I75" s="57">
        <f t="shared" si="21"/>
        <v>11152360</v>
      </c>
      <c r="J75" s="57">
        <f t="shared" si="21"/>
        <v>0</v>
      </c>
      <c r="K75" s="57">
        <f t="shared" si="21"/>
        <v>11152360</v>
      </c>
    </row>
    <row r="76" spans="1:11" s="35" customFormat="1" ht="15" customHeight="1">
      <c r="A76" s="34" t="s">
        <v>34</v>
      </c>
      <c r="B76" s="35" t="s">
        <v>65</v>
      </c>
      <c r="C76" s="25">
        <v>863102</v>
      </c>
      <c r="D76" s="25">
        <v>0</v>
      </c>
      <c r="E76" s="26">
        <f t="shared" si="20"/>
        <v>863102</v>
      </c>
      <c r="F76" s="27">
        <v>-141</v>
      </c>
      <c r="G76" s="27">
        <v>0</v>
      </c>
      <c r="H76" s="26">
        <f t="shared" si="19"/>
        <v>-141</v>
      </c>
      <c r="I76" s="26">
        <f t="shared" si="21"/>
        <v>862961</v>
      </c>
      <c r="J76" s="26">
        <f t="shared" si="21"/>
        <v>0</v>
      </c>
      <c r="K76" s="26">
        <f t="shared" si="21"/>
        <v>862961</v>
      </c>
    </row>
    <row r="77" spans="1:11" s="59" customFormat="1" ht="15" customHeight="1">
      <c r="A77" s="54" t="s">
        <v>53</v>
      </c>
      <c r="B77" s="55" t="s">
        <v>59</v>
      </c>
      <c r="C77" s="58">
        <v>2080434</v>
      </c>
      <c r="D77" s="58">
        <v>0</v>
      </c>
      <c r="E77" s="57">
        <f>SUM(C77:D77)</f>
        <v>2080434</v>
      </c>
      <c r="F77" s="58">
        <v>-800</v>
      </c>
      <c r="G77" s="58">
        <v>0</v>
      </c>
      <c r="H77" s="57">
        <f t="shared" si="19"/>
        <v>-800</v>
      </c>
      <c r="I77" s="57">
        <f t="shared" si="21"/>
        <v>2079634</v>
      </c>
      <c r="J77" s="57">
        <f t="shared" si="21"/>
        <v>0</v>
      </c>
      <c r="K77" s="57">
        <f t="shared" si="21"/>
        <v>2079634</v>
      </c>
    </row>
    <row r="78" spans="1:11" s="42" customFormat="1" ht="15" customHeight="1">
      <c r="A78" s="54" t="s">
        <v>54</v>
      </c>
      <c r="B78" s="55" t="s">
        <v>55</v>
      </c>
      <c r="C78" s="58">
        <v>280100</v>
      </c>
      <c r="D78" s="58">
        <v>0</v>
      </c>
      <c r="E78" s="57">
        <f>SUM(C78:D78)</f>
        <v>280100</v>
      </c>
      <c r="F78" s="58">
        <f>400</f>
        <v>400</v>
      </c>
      <c r="G78" s="58">
        <v>0</v>
      </c>
      <c r="H78" s="57">
        <f>F78+G78</f>
        <v>400</v>
      </c>
      <c r="I78" s="57">
        <f t="shared" si="21"/>
        <v>280500</v>
      </c>
      <c r="J78" s="57">
        <f t="shared" si="21"/>
        <v>0</v>
      </c>
      <c r="K78" s="57">
        <f>E78+H78</f>
        <v>280500</v>
      </c>
    </row>
    <row r="79" spans="1:11" s="35" customFormat="1" ht="15" customHeight="1">
      <c r="A79" s="34" t="s">
        <v>21</v>
      </c>
      <c r="B79" s="35" t="s">
        <v>22</v>
      </c>
      <c r="C79" s="25">
        <v>405742</v>
      </c>
      <c r="D79" s="25">
        <v>0</v>
      </c>
      <c r="E79" s="26">
        <f>SUM(C79:D79)</f>
        <v>405742</v>
      </c>
      <c r="F79" s="27">
        <v>200</v>
      </c>
      <c r="G79" s="27">
        <v>0</v>
      </c>
      <c r="H79" s="26">
        <f t="shared" si="19"/>
        <v>200</v>
      </c>
      <c r="I79" s="26">
        <f aca="true" t="shared" si="22" ref="I79:K80">C79+F79</f>
        <v>405942</v>
      </c>
      <c r="J79" s="26">
        <f t="shared" si="22"/>
        <v>0</v>
      </c>
      <c r="K79" s="26">
        <f t="shared" si="22"/>
        <v>405942</v>
      </c>
    </row>
    <row r="80" spans="1:11" s="24" customFormat="1" ht="15" customHeight="1">
      <c r="A80" s="23" t="s">
        <v>45</v>
      </c>
      <c r="B80" s="24" t="s">
        <v>98</v>
      </c>
      <c r="C80" s="25">
        <v>15744</v>
      </c>
      <c r="D80" s="25">
        <v>12116</v>
      </c>
      <c r="E80" s="26">
        <f>SUM(C80:D80)</f>
        <v>27860</v>
      </c>
      <c r="F80" s="25">
        <v>300</v>
      </c>
      <c r="G80" s="25">
        <v>0</v>
      </c>
      <c r="H80" s="26">
        <f t="shared" si="19"/>
        <v>300</v>
      </c>
      <c r="I80" s="26">
        <f t="shared" si="22"/>
        <v>16044</v>
      </c>
      <c r="J80" s="26">
        <f t="shared" si="22"/>
        <v>12116</v>
      </c>
      <c r="K80" s="26">
        <f t="shared" si="22"/>
        <v>28160</v>
      </c>
    </row>
    <row r="81" spans="1:11" ht="15" customHeight="1">
      <c r="A81" s="34" t="s">
        <v>16</v>
      </c>
      <c r="B81" s="35" t="s">
        <v>17</v>
      </c>
      <c r="C81" s="27">
        <v>160993</v>
      </c>
      <c r="D81" s="27">
        <v>0</v>
      </c>
      <c r="E81" s="26">
        <f>SUM(C81:D81)</f>
        <v>160993</v>
      </c>
      <c r="F81" s="27">
        <f>5613-500</f>
        <v>5113</v>
      </c>
      <c r="G81" s="27">
        <v>0</v>
      </c>
      <c r="H81" s="26">
        <f t="shared" si="19"/>
        <v>5113</v>
      </c>
      <c r="I81" s="26">
        <f>C81+F81</f>
        <v>166106</v>
      </c>
      <c r="J81" s="26">
        <f>D81+G81</f>
        <v>0</v>
      </c>
      <c r="K81" s="26">
        <f>E81+H81</f>
        <v>166106</v>
      </c>
    </row>
    <row r="82" spans="1:11" s="60" customFormat="1" ht="15" customHeight="1">
      <c r="A82" s="50">
        <v>80103</v>
      </c>
      <c r="B82" s="51" t="s">
        <v>131</v>
      </c>
      <c r="C82" s="53">
        <v>599846</v>
      </c>
      <c r="D82" s="53">
        <v>0</v>
      </c>
      <c r="E82" s="52">
        <f t="shared" si="20"/>
        <v>599846</v>
      </c>
      <c r="F82" s="53">
        <f>SUM(F83:F85)</f>
        <v>12300</v>
      </c>
      <c r="G82" s="53">
        <v>0</v>
      </c>
      <c r="H82" s="52">
        <f t="shared" si="19"/>
        <v>12300</v>
      </c>
      <c r="I82" s="52">
        <f aca="true" t="shared" si="23" ref="I82:J88">C82+F82</f>
        <v>612146</v>
      </c>
      <c r="J82" s="52">
        <f t="shared" si="23"/>
        <v>0</v>
      </c>
      <c r="K82" s="52">
        <f>SUM(E82+H82)</f>
        <v>612146</v>
      </c>
    </row>
    <row r="83" spans="1:11" s="55" customFormat="1" ht="15" customHeight="1">
      <c r="A83" s="54" t="s">
        <v>20</v>
      </c>
      <c r="B83" s="55" t="s">
        <v>44</v>
      </c>
      <c r="C83" s="56">
        <v>457164</v>
      </c>
      <c r="D83" s="56">
        <v>0</v>
      </c>
      <c r="E83" s="57">
        <f t="shared" si="20"/>
        <v>457164</v>
      </c>
      <c r="F83" s="58">
        <f>3200+2500+1300+2300</f>
        <v>9300</v>
      </c>
      <c r="G83" s="58">
        <v>0</v>
      </c>
      <c r="H83" s="57">
        <f t="shared" si="19"/>
        <v>9300</v>
      </c>
      <c r="I83" s="57">
        <f t="shared" si="23"/>
        <v>466464</v>
      </c>
      <c r="J83" s="57">
        <f t="shared" si="23"/>
        <v>0</v>
      </c>
      <c r="K83" s="57">
        <f>E83+H83</f>
        <v>466464</v>
      </c>
    </row>
    <row r="84" spans="1:11" s="59" customFormat="1" ht="15" customHeight="1">
      <c r="A84" s="54" t="s">
        <v>53</v>
      </c>
      <c r="B84" s="55" t="s">
        <v>59</v>
      </c>
      <c r="C84" s="58">
        <v>88500</v>
      </c>
      <c r="D84" s="58">
        <v>0</v>
      </c>
      <c r="E84" s="57">
        <f t="shared" si="20"/>
        <v>88500</v>
      </c>
      <c r="F84" s="58">
        <f>600+1400+400</f>
        <v>2400</v>
      </c>
      <c r="G84" s="58">
        <v>0</v>
      </c>
      <c r="H84" s="57">
        <f t="shared" si="19"/>
        <v>2400</v>
      </c>
      <c r="I84" s="57">
        <f t="shared" si="23"/>
        <v>90900</v>
      </c>
      <c r="J84" s="57">
        <f t="shared" si="23"/>
        <v>0</v>
      </c>
      <c r="K84" s="57">
        <f>E84+H84</f>
        <v>90900</v>
      </c>
    </row>
    <row r="85" spans="1:11" s="42" customFormat="1" ht="15" customHeight="1">
      <c r="A85" s="54" t="s">
        <v>54</v>
      </c>
      <c r="B85" s="55" t="s">
        <v>55</v>
      </c>
      <c r="C85" s="58">
        <v>11620</v>
      </c>
      <c r="D85" s="58">
        <v>0</v>
      </c>
      <c r="E85" s="57">
        <f>SUM(C85:D85)</f>
        <v>11620</v>
      </c>
      <c r="F85" s="58">
        <f>100+200+300</f>
        <v>600</v>
      </c>
      <c r="G85" s="58">
        <v>0</v>
      </c>
      <c r="H85" s="57">
        <f aca="true" t="shared" si="24" ref="H85:H92">F85+G85</f>
        <v>600</v>
      </c>
      <c r="I85" s="57">
        <f t="shared" si="23"/>
        <v>12220</v>
      </c>
      <c r="J85" s="57">
        <f t="shared" si="23"/>
        <v>0</v>
      </c>
      <c r="K85" s="57">
        <f>E85+H85</f>
        <v>12220</v>
      </c>
    </row>
    <row r="86" spans="1:11" s="60" customFormat="1" ht="15" customHeight="1">
      <c r="A86" s="50">
        <v>80104</v>
      </c>
      <c r="B86" s="51" t="s">
        <v>97</v>
      </c>
      <c r="C86" s="53">
        <v>9095214</v>
      </c>
      <c r="D86" s="53">
        <v>0</v>
      </c>
      <c r="E86" s="52">
        <f t="shared" si="20"/>
        <v>9095214</v>
      </c>
      <c r="F86" s="53">
        <f>SUM(F87:F92)</f>
        <v>76200</v>
      </c>
      <c r="G86" s="53">
        <v>0</v>
      </c>
      <c r="H86" s="52">
        <f t="shared" si="24"/>
        <v>76200</v>
      </c>
      <c r="I86" s="52">
        <f t="shared" si="23"/>
        <v>9171414</v>
      </c>
      <c r="J86" s="52">
        <f t="shared" si="23"/>
        <v>0</v>
      </c>
      <c r="K86" s="52">
        <f>SUM(E86+H86)</f>
        <v>9171414</v>
      </c>
    </row>
    <row r="87" spans="1:11" s="55" customFormat="1" ht="15" customHeight="1">
      <c r="A87" s="54" t="s">
        <v>20</v>
      </c>
      <c r="B87" s="55" t="s">
        <v>44</v>
      </c>
      <c r="C87" s="56">
        <v>4718731</v>
      </c>
      <c r="D87" s="56">
        <v>0</v>
      </c>
      <c r="E87" s="57">
        <f>SUM(C87:D87)</f>
        <v>4718731</v>
      </c>
      <c r="F87" s="58">
        <f>9100+14000+7000+10800+10000+10000</f>
        <v>60900</v>
      </c>
      <c r="G87" s="58">
        <v>0</v>
      </c>
      <c r="H87" s="57">
        <f t="shared" si="24"/>
        <v>60900</v>
      </c>
      <c r="I87" s="57">
        <f t="shared" si="23"/>
        <v>4779631</v>
      </c>
      <c r="J87" s="57">
        <f t="shared" si="23"/>
        <v>0</v>
      </c>
      <c r="K87" s="57">
        <f>E87+H87</f>
        <v>4779631</v>
      </c>
    </row>
    <row r="88" spans="1:11" s="59" customFormat="1" ht="15" customHeight="1">
      <c r="A88" s="54" t="s">
        <v>21</v>
      </c>
      <c r="B88" s="55" t="s">
        <v>22</v>
      </c>
      <c r="C88" s="58">
        <v>229450</v>
      </c>
      <c r="D88" s="58">
        <v>0</v>
      </c>
      <c r="E88" s="57">
        <f t="shared" si="20"/>
        <v>229450</v>
      </c>
      <c r="F88" s="58">
        <f>5000+4000+8000+2000+4000+5000+2000-5000</f>
        <v>25000</v>
      </c>
      <c r="G88" s="58">
        <v>0</v>
      </c>
      <c r="H88" s="57">
        <f t="shared" si="24"/>
        <v>25000</v>
      </c>
      <c r="I88" s="57">
        <f t="shared" si="23"/>
        <v>254450</v>
      </c>
      <c r="J88" s="57">
        <f t="shared" si="23"/>
        <v>0</v>
      </c>
      <c r="K88" s="57">
        <f>E88+H88</f>
        <v>254450</v>
      </c>
    </row>
    <row r="89" spans="1:11" s="59" customFormat="1" ht="15" customHeight="1">
      <c r="A89" s="54" t="s">
        <v>88</v>
      </c>
      <c r="B89" s="55" t="s">
        <v>89</v>
      </c>
      <c r="C89" s="58">
        <v>760800</v>
      </c>
      <c r="D89" s="58">
        <v>0</v>
      </c>
      <c r="E89" s="57">
        <f>SUM(C89:D89)</f>
        <v>760800</v>
      </c>
      <c r="F89" s="58">
        <f>20000+7000+5000+8000-4000-5000-10000-3000</f>
        <v>18000</v>
      </c>
      <c r="G89" s="58">
        <v>0</v>
      </c>
      <c r="H89" s="57">
        <f t="shared" si="24"/>
        <v>18000</v>
      </c>
      <c r="I89" s="57">
        <f aca="true" t="shared" si="25" ref="I89:K90">C89+F89</f>
        <v>778800</v>
      </c>
      <c r="J89" s="57">
        <f t="shared" si="25"/>
        <v>0</v>
      </c>
      <c r="K89" s="57">
        <f t="shared" si="25"/>
        <v>778800</v>
      </c>
    </row>
    <row r="90" spans="1:11" s="59" customFormat="1" ht="15" customHeight="1">
      <c r="A90" s="54" t="s">
        <v>23</v>
      </c>
      <c r="B90" s="55" t="s">
        <v>24</v>
      </c>
      <c r="C90" s="58">
        <v>483470</v>
      </c>
      <c r="D90" s="58">
        <v>0</v>
      </c>
      <c r="E90" s="57">
        <f>SUM(C90:D90)</f>
        <v>483470</v>
      </c>
      <c r="F90" s="58">
        <f>-2000+5000</f>
        <v>3000</v>
      </c>
      <c r="G90" s="58">
        <v>0</v>
      </c>
      <c r="H90" s="57">
        <f t="shared" si="24"/>
        <v>3000</v>
      </c>
      <c r="I90" s="57">
        <f t="shared" si="25"/>
        <v>486470</v>
      </c>
      <c r="J90" s="57">
        <f t="shared" si="25"/>
        <v>0</v>
      </c>
      <c r="K90" s="57">
        <f t="shared" si="25"/>
        <v>486470</v>
      </c>
    </row>
    <row r="91" spans="1:11" s="70" customFormat="1" ht="15" customHeight="1">
      <c r="A91" s="54" t="s">
        <v>26</v>
      </c>
      <c r="B91" s="55" t="s">
        <v>27</v>
      </c>
      <c r="C91" s="56">
        <v>267230</v>
      </c>
      <c r="D91" s="56">
        <v>0</v>
      </c>
      <c r="E91" s="57">
        <f>SUM(C91:D91)</f>
        <v>267230</v>
      </c>
      <c r="F91" s="58">
        <f>-5000-2700-10000-4000</f>
        <v>-21700</v>
      </c>
      <c r="G91" s="58">
        <v>0</v>
      </c>
      <c r="H91" s="57">
        <f t="shared" si="24"/>
        <v>-21700</v>
      </c>
      <c r="I91" s="57">
        <f aca="true" t="shared" si="26" ref="I91:K92">C91+F91</f>
        <v>245530</v>
      </c>
      <c r="J91" s="57">
        <f t="shared" si="26"/>
        <v>0</v>
      </c>
      <c r="K91" s="57">
        <f t="shared" si="26"/>
        <v>245530</v>
      </c>
    </row>
    <row r="92" spans="1:11" s="78" customFormat="1" ht="15" customHeight="1">
      <c r="A92" s="75" t="s">
        <v>16</v>
      </c>
      <c r="B92" s="76" t="s">
        <v>17</v>
      </c>
      <c r="C92" s="77">
        <v>137630</v>
      </c>
      <c r="D92" s="77">
        <v>0</v>
      </c>
      <c r="E92" s="61">
        <f>SUM(C92:D92)</f>
        <v>137630</v>
      </c>
      <c r="F92" s="77">
        <f>-5000-2000-2000</f>
        <v>-9000</v>
      </c>
      <c r="G92" s="77">
        <v>0</v>
      </c>
      <c r="H92" s="61">
        <f t="shared" si="24"/>
        <v>-9000</v>
      </c>
      <c r="I92" s="61">
        <f t="shared" si="26"/>
        <v>128630</v>
      </c>
      <c r="J92" s="61">
        <f t="shared" si="26"/>
        <v>0</v>
      </c>
      <c r="K92" s="61">
        <f t="shared" si="26"/>
        <v>128630</v>
      </c>
    </row>
    <row r="93" spans="1:11" s="60" customFormat="1" ht="15" customHeight="1">
      <c r="A93" s="50">
        <v>80110</v>
      </c>
      <c r="B93" s="51" t="s">
        <v>70</v>
      </c>
      <c r="C93" s="53">
        <v>15270919</v>
      </c>
      <c r="D93" s="53">
        <v>0</v>
      </c>
      <c r="E93" s="52">
        <f aca="true" t="shared" si="27" ref="E93:E101">SUM(C93:D93)</f>
        <v>15270919</v>
      </c>
      <c r="F93" s="53">
        <f>SUM(F94:F96)</f>
        <v>6305</v>
      </c>
      <c r="G93" s="53">
        <v>0</v>
      </c>
      <c r="H93" s="52">
        <f aca="true" t="shared" si="28" ref="H93:H99">F93+G93</f>
        <v>6305</v>
      </c>
      <c r="I93" s="52">
        <f aca="true" t="shared" si="29" ref="I93:J96">C93+F93</f>
        <v>15277224</v>
      </c>
      <c r="J93" s="52">
        <f t="shared" si="29"/>
        <v>0</v>
      </c>
      <c r="K93" s="52">
        <f>SUM(E93+H93)</f>
        <v>15277224</v>
      </c>
    </row>
    <row r="94" spans="1:11" s="90" customFormat="1" ht="15" customHeight="1">
      <c r="A94" s="89" t="s">
        <v>56</v>
      </c>
      <c r="B94" s="90" t="s">
        <v>66</v>
      </c>
      <c r="C94" s="66">
        <v>3900</v>
      </c>
      <c r="D94" s="66">
        <v>0</v>
      </c>
      <c r="E94" s="26">
        <f>SUM(C94:D94)</f>
        <v>3900</v>
      </c>
      <c r="F94" s="84">
        <v>1200</v>
      </c>
      <c r="G94" s="91">
        <v>0</v>
      </c>
      <c r="H94" s="26">
        <f t="shared" si="28"/>
        <v>1200</v>
      </c>
      <c r="I94" s="26">
        <f t="shared" si="29"/>
        <v>5100</v>
      </c>
      <c r="J94" s="26">
        <f t="shared" si="29"/>
        <v>0</v>
      </c>
      <c r="K94" s="26">
        <f aca="true" t="shared" si="30" ref="K94:K99">E94+H94</f>
        <v>5100</v>
      </c>
    </row>
    <row r="95" spans="1:11" s="59" customFormat="1" ht="15" customHeight="1">
      <c r="A95" s="54" t="s">
        <v>26</v>
      </c>
      <c r="B95" s="55" t="s">
        <v>27</v>
      </c>
      <c r="C95" s="58">
        <v>210616</v>
      </c>
      <c r="D95" s="58">
        <v>0</v>
      </c>
      <c r="E95" s="57">
        <f t="shared" si="27"/>
        <v>210616</v>
      </c>
      <c r="F95" s="58">
        <f>-1200+6200</f>
        <v>5000</v>
      </c>
      <c r="G95" s="58">
        <v>0</v>
      </c>
      <c r="H95" s="57">
        <f t="shared" si="28"/>
        <v>5000</v>
      </c>
      <c r="I95" s="57">
        <f t="shared" si="29"/>
        <v>215616</v>
      </c>
      <c r="J95" s="57">
        <f t="shared" si="29"/>
        <v>0</v>
      </c>
      <c r="K95" s="57">
        <f t="shared" si="30"/>
        <v>215616</v>
      </c>
    </row>
    <row r="96" spans="1:11" s="24" customFormat="1" ht="15" customHeight="1">
      <c r="A96" s="34" t="s">
        <v>16</v>
      </c>
      <c r="B96" s="35" t="s">
        <v>17</v>
      </c>
      <c r="C96" s="27">
        <v>153683</v>
      </c>
      <c r="D96" s="27">
        <v>0</v>
      </c>
      <c r="E96" s="26">
        <f t="shared" si="27"/>
        <v>153683</v>
      </c>
      <c r="F96" s="27">
        <v>105</v>
      </c>
      <c r="G96" s="27">
        <v>0</v>
      </c>
      <c r="H96" s="26">
        <f t="shared" si="28"/>
        <v>105</v>
      </c>
      <c r="I96" s="26">
        <f t="shared" si="29"/>
        <v>153788</v>
      </c>
      <c r="J96" s="26">
        <f t="shared" si="29"/>
        <v>0</v>
      </c>
      <c r="K96" s="26">
        <f t="shared" si="30"/>
        <v>153788</v>
      </c>
    </row>
    <row r="97" spans="1:11" s="86" customFormat="1" ht="15" customHeight="1">
      <c r="A97" s="85">
        <v>80146</v>
      </c>
      <c r="B97" s="86" t="s">
        <v>99</v>
      </c>
      <c r="C97" s="87">
        <v>201087</v>
      </c>
      <c r="D97" s="87">
        <v>0</v>
      </c>
      <c r="E97" s="21">
        <f t="shared" si="27"/>
        <v>201087</v>
      </c>
      <c r="F97" s="88">
        <f>SUM(F98:F99)</f>
        <v>-3500</v>
      </c>
      <c r="G97" s="88">
        <f>SUM(G100:G101)</f>
        <v>0</v>
      </c>
      <c r="H97" s="21">
        <f t="shared" si="28"/>
        <v>-3500</v>
      </c>
      <c r="I97" s="21">
        <f aca="true" t="shared" si="31" ref="I97:J99">C97+F97</f>
        <v>197587</v>
      </c>
      <c r="J97" s="21">
        <f t="shared" si="31"/>
        <v>0</v>
      </c>
      <c r="K97" s="21">
        <f t="shared" si="30"/>
        <v>197587</v>
      </c>
    </row>
    <row r="98" spans="1:11" s="55" customFormat="1" ht="15" customHeight="1">
      <c r="A98" s="54" t="s">
        <v>20</v>
      </c>
      <c r="B98" s="55" t="s">
        <v>44</v>
      </c>
      <c r="C98" s="56">
        <v>83536</v>
      </c>
      <c r="D98" s="56">
        <v>0</v>
      </c>
      <c r="E98" s="57">
        <f t="shared" si="27"/>
        <v>83536</v>
      </c>
      <c r="F98" s="58">
        <v>-2000</v>
      </c>
      <c r="G98" s="58">
        <v>0</v>
      </c>
      <c r="H98" s="57">
        <f t="shared" si="28"/>
        <v>-2000</v>
      </c>
      <c r="I98" s="57">
        <f t="shared" si="31"/>
        <v>81536</v>
      </c>
      <c r="J98" s="57">
        <f t="shared" si="31"/>
        <v>0</v>
      </c>
      <c r="K98" s="57">
        <f t="shared" si="30"/>
        <v>81536</v>
      </c>
    </row>
    <row r="99" spans="1:11" s="59" customFormat="1" ht="15" customHeight="1">
      <c r="A99" s="54" t="s">
        <v>53</v>
      </c>
      <c r="B99" s="55" t="s">
        <v>59</v>
      </c>
      <c r="C99" s="58">
        <v>15000</v>
      </c>
      <c r="D99" s="58">
        <v>0</v>
      </c>
      <c r="E99" s="57">
        <f t="shared" si="27"/>
        <v>15000</v>
      </c>
      <c r="F99" s="58">
        <v>-1500</v>
      </c>
      <c r="G99" s="58">
        <v>0</v>
      </c>
      <c r="H99" s="57">
        <f t="shared" si="28"/>
        <v>-1500</v>
      </c>
      <c r="I99" s="57">
        <f t="shared" si="31"/>
        <v>13500</v>
      </c>
      <c r="J99" s="57">
        <f t="shared" si="31"/>
        <v>0</v>
      </c>
      <c r="K99" s="57">
        <f t="shared" si="30"/>
        <v>13500</v>
      </c>
    </row>
    <row r="100" spans="1:11" s="67" customFormat="1" ht="15" customHeight="1">
      <c r="A100" s="72">
        <v>80195</v>
      </c>
      <c r="B100" s="73" t="s">
        <v>37</v>
      </c>
      <c r="C100" s="74">
        <v>725766</v>
      </c>
      <c r="D100" s="74">
        <v>184776</v>
      </c>
      <c r="E100" s="52">
        <f t="shared" si="27"/>
        <v>910542</v>
      </c>
      <c r="F100" s="74">
        <f>SUM(F101:F101)</f>
        <v>-9813</v>
      </c>
      <c r="G100" s="74">
        <v>0</v>
      </c>
      <c r="H100" s="52">
        <f>F100+G100</f>
        <v>-9813</v>
      </c>
      <c r="I100" s="52">
        <f aca="true" t="shared" si="32" ref="I100:J102">C100+F100</f>
        <v>715953</v>
      </c>
      <c r="J100" s="52">
        <f t="shared" si="32"/>
        <v>184776</v>
      </c>
      <c r="K100" s="52">
        <f>SUM(E100+H100)</f>
        <v>900729</v>
      </c>
    </row>
    <row r="101" spans="1:11" s="79" customFormat="1" ht="15" customHeight="1">
      <c r="A101" s="62" t="s">
        <v>21</v>
      </c>
      <c r="B101" s="63" t="s">
        <v>22</v>
      </c>
      <c r="C101" s="65">
        <v>12213</v>
      </c>
      <c r="D101" s="65">
        <v>0</v>
      </c>
      <c r="E101" s="57">
        <f t="shared" si="27"/>
        <v>12213</v>
      </c>
      <c r="F101" s="84">
        <v>-9813</v>
      </c>
      <c r="G101" s="65">
        <v>0</v>
      </c>
      <c r="H101" s="57">
        <f>F101+G101</f>
        <v>-9813</v>
      </c>
      <c r="I101" s="57">
        <f t="shared" si="32"/>
        <v>2400</v>
      </c>
      <c r="J101" s="57">
        <f t="shared" si="32"/>
        <v>0</v>
      </c>
      <c r="K101" s="57">
        <f>E101+H101</f>
        <v>2400</v>
      </c>
    </row>
    <row r="102" spans="1:11" s="19" customFormat="1" ht="15" customHeight="1">
      <c r="A102" s="136" t="s">
        <v>84</v>
      </c>
      <c r="B102" s="137" t="s">
        <v>85</v>
      </c>
      <c r="C102" s="138">
        <v>972000</v>
      </c>
      <c r="D102" s="138">
        <v>482</v>
      </c>
      <c r="E102" s="118">
        <f>SUM(C102:D102)</f>
        <v>972482</v>
      </c>
      <c r="F102" s="138">
        <v>0</v>
      </c>
      <c r="G102" s="138">
        <v>0</v>
      </c>
      <c r="H102" s="118">
        <f>F102+G102</f>
        <v>0</v>
      </c>
      <c r="I102" s="118">
        <f t="shared" si="32"/>
        <v>972000</v>
      </c>
      <c r="J102" s="118">
        <f t="shared" si="32"/>
        <v>482</v>
      </c>
      <c r="K102" s="118">
        <f>E102+H102</f>
        <v>972482</v>
      </c>
    </row>
    <row r="103" spans="1:11" s="24" customFormat="1" ht="15" customHeight="1">
      <c r="A103" s="139"/>
      <c r="B103" s="140" t="s">
        <v>10</v>
      </c>
      <c r="C103" s="141"/>
      <c r="D103" s="141"/>
      <c r="E103" s="122"/>
      <c r="F103" s="141"/>
      <c r="G103" s="141"/>
      <c r="H103" s="122"/>
      <c r="I103" s="122"/>
      <c r="J103" s="122"/>
      <c r="K103" s="122"/>
    </row>
    <row r="104" spans="1:11" s="28" customFormat="1" ht="15" customHeight="1">
      <c r="A104" s="142"/>
      <c r="B104" s="124" t="s">
        <v>76</v>
      </c>
      <c r="C104" s="143">
        <v>0</v>
      </c>
      <c r="D104" s="143">
        <v>0</v>
      </c>
      <c r="E104" s="126">
        <f aca="true" t="shared" si="33" ref="E104:E109">SUM(C104:D104)</f>
        <v>0</v>
      </c>
      <c r="F104" s="143">
        <v>0</v>
      </c>
      <c r="G104" s="143">
        <v>0</v>
      </c>
      <c r="H104" s="126">
        <f>F104+G104</f>
        <v>0</v>
      </c>
      <c r="I104" s="126">
        <f aca="true" t="shared" si="34" ref="I104:K109">C104+F104</f>
        <v>0</v>
      </c>
      <c r="J104" s="126">
        <f t="shared" si="34"/>
        <v>0</v>
      </c>
      <c r="K104" s="126">
        <f t="shared" si="34"/>
        <v>0</v>
      </c>
    </row>
    <row r="105" spans="1:11" s="19" customFormat="1" ht="15" customHeight="1">
      <c r="A105" s="144">
        <v>85154</v>
      </c>
      <c r="B105" s="145" t="s">
        <v>132</v>
      </c>
      <c r="C105" s="132">
        <v>850000</v>
      </c>
      <c r="D105" s="132">
        <v>0</v>
      </c>
      <c r="E105" s="109">
        <f t="shared" si="33"/>
        <v>850000</v>
      </c>
      <c r="F105" s="132">
        <f>SUM(F106:F109)</f>
        <v>0</v>
      </c>
      <c r="G105" s="132">
        <v>0</v>
      </c>
      <c r="H105" s="109">
        <f aca="true" t="shared" si="35" ref="H105:H110">F105+G105</f>
        <v>0</v>
      </c>
      <c r="I105" s="109">
        <f t="shared" si="34"/>
        <v>850000</v>
      </c>
      <c r="J105" s="109">
        <f t="shared" si="34"/>
        <v>0</v>
      </c>
      <c r="K105" s="109">
        <f t="shared" si="34"/>
        <v>850000</v>
      </c>
    </row>
    <row r="106" spans="1:11" s="59" customFormat="1" ht="15" customHeight="1">
      <c r="A106" s="127" t="s">
        <v>53</v>
      </c>
      <c r="B106" s="128" t="s">
        <v>59</v>
      </c>
      <c r="C106" s="129">
        <v>11899</v>
      </c>
      <c r="D106" s="129">
        <v>0</v>
      </c>
      <c r="E106" s="114">
        <f t="shared" si="33"/>
        <v>11899</v>
      </c>
      <c r="F106" s="129">
        <v>-128</v>
      </c>
      <c r="G106" s="129">
        <v>0</v>
      </c>
      <c r="H106" s="114">
        <f t="shared" si="35"/>
        <v>-128</v>
      </c>
      <c r="I106" s="114">
        <f t="shared" si="34"/>
        <v>11771</v>
      </c>
      <c r="J106" s="114">
        <f t="shared" si="34"/>
        <v>0</v>
      </c>
      <c r="K106" s="114">
        <f>E106+H106</f>
        <v>11771</v>
      </c>
    </row>
    <row r="107" spans="1:11" s="59" customFormat="1" ht="15" customHeight="1">
      <c r="A107" s="127" t="s">
        <v>54</v>
      </c>
      <c r="B107" s="128" t="s">
        <v>55</v>
      </c>
      <c r="C107" s="129">
        <v>1603</v>
      </c>
      <c r="D107" s="129">
        <v>0</v>
      </c>
      <c r="E107" s="114">
        <f t="shared" si="33"/>
        <v>1603</v>
      </c>
      <c r="F107" s="129">
        <v>-12</v>
      </c>
      <c r="G107" s="129">
        <v>0</v>
      </c>
      <c r="H107" s="114">
        <f t="shared" si="35"/>
        <v>-12</v>
      </c>
      <c r="I107" s="114">
        <f t="shared" si="34"/>
        <v>1591</v>
      </c>
      <c r="J107" s="114">
        <f t="shared" si="34"/>
        <v>0</v>
      </c>
      <c r="K107" s="114">
        <f>E107+H107</f>
        <v>1591</v>
      </c>
    </row>
    <row r="108" spans="1:11" s="55" customFormat="1" ht="15" customHeight="1">
      <c r="A108" s="127" t="s">
        <v>56</v>
      </c>
      <c r="B108" s="128" t="s">
        <v>66</v>
      </c>
      <c r="C108" s="81">
        <v>166998</v>
      </c>
      <c r="D108" s="81">
        <v>0</v>
      </c>
      <c r="E108" s="114">
        <f t="shared" si="33"/>
        <v>166998</v>
      </c>
      <c r="F108" s="129">
        <v>-742</v>
      </c>
      <c r="G108" s="129">
        <v>0</v>
      </c>
      <c r="H108" s="114">
        <f t="shared" si="35"/>
        <v>-742</v>
      </c>
      <c r="I108" s="114">
        <f t="shared" si="34"/>
        <v>166256</v>
      </c>
      <c r="J108" s="114">
        <f t="shared" si="34"/>
        <v>0</v>
      </c>
      <c r="K108" s="114">
        <f>E108+H108</f>
        <v>166256</v>
      </c>
    </row>
    <row r="109" spans="1:11" s="24" customFormat="1" ht="15" customHeight="1">
      <c r="A109" s="146" t="s">
        <v>45</v>
      </c>
      <c r="B109" s="147" t="s">
        <v>98</v>
      </c>
      <c r="C109" s="81">
        <v>10000</v>
      </c>
      <c r="D109" s="81">
        <v>0</v>
      </c>
      <c r="E109" s="114">
        <f t="shared" si="33"/>
        <v>10000</v>
      </c>
      <c r="F109" s="81">
        <v>882</v>
      </c>
      <c r="G109" s="81">
        <v>0</v>
      </c>
      <c r="H109" s="114">
        <f t="shared" si="35"/>
        <v>882</v>
      </c>
      <c r="I109" s="114">
        <f t="shared" si="34"/>
        <v>10882</v>
      </c>
      <c r="J109" s="114">
        <f t="shared" si="34"/>
        <v>0</v>
      </c>
      <c r="K109" s="114">
        <f>E109+H109</f>
        <v>10882</v>
      </c>
    </row>
    <row r="110" spans="1:11" s="19" customFormat="1" ht="15" customHeight="1">
      <c r="A110" s="9" t="s">
        <v>38</v>
      </c>
      <c r="B110" s="10" t="s">
        <v>39</v>
      </c>
      <c r="C110" s="11">
        <v>11138034</v>
      </c>
      <c r="D110" s="11">
        <v>23597853</v>
      </c>
      <c r="E110" s="4">
        <f>SUM(C110:D110)</f>
        <v>34735887</v>
      </c>
      <c r="F110" s="11">
        <f>F127+F129</f>
        <v>46185</v>
      </c>
      <c r="G110" s="11">
        <f>G113+G118</f>
        <v>0</v>
      </c>
      <c r="H110" s="4">
        <f t="shared" si="35"/>
        <v>46185</v>
      </c>
      <c r="I110" s="4">
        <f>C110+F110</f>
        <v>11184219</v>
      </c>
      <c r="J110" s="4">
        <f>D110+G110</f>
        <v>23597853</v>
      </c>
      <c r="K110" s="4">
        <f>E110+H110</f>
        <v>34782072</v>
      </c>
    </row>
    <row r="111" spans="1:11" s="24" customFormat="1" ht="15" customHeight="1">
      <c r="A111" s="12"/>
      <c r="B111" s="13" t="s">
        <v>10</v>
      </c>
      <c r="C111" s="14"/>
      <c r="D111" s="14"/>
      <c r="E111" s="6"/>
      <c r="F111" s="14"/>
      <c r="G111" s="14"/>
      <c r="H111" s="6"/>
      <c r="I111" s="6"/>
      <c r="J111" s="6"/>
      <c r="K111" s="6"/>
    </row>
    <row r="112" spans="1:11" s="28" customFormat="1" ht="15" customHeight="1">
      <c r="A112" s="15"/>
      <c r="B112" s="7" t="s">
        <v>76</v>
      </c>
      <c r="C112" s="17">
        <v>46000</v>
      </c>
      <c r="D112" s="17">
        <v>0</v>
      </c>
      <c r="E112" s="8">
        <f aca="true" t="shared" si="36" ref="E112:E142">SUM(C112:D112)</f>
        <v>46000</v>
      </c>
      <c r="F112" s="17">
        <f>F141</f>
        <v>-44</v>
      </c>
      <c r="G112" s="17">
        <v>0</v>
      </c>
      <c r="H112" s="8">
        <f aca="true" t="shared" si="37" ref="H112:H129">F112+G112</f>
        <v>-44</v>
      </c>
      <c r="I112" s="8">
        <f>C112+F112</f>
        <v>45956</v>
      </c>
      <c r="J112" s="8">
        <f>D112+G112</f>
        <v>0</v>
      </c>
      <c r="K112" s="8">
        <f>E112+H112</f>
        <v>45956</v>
      </c>
    </row>
    <row r="113" spans="1:11" s="33" customFormat="1" ht="15" customHeight="1">
      <c r="A113" s="32">
        <v>85203</v>
      </c>
      <c r="B113" s="33" t="s">
        <v>60</v>
      </c>
      <c r="C113" s="20">
        <v>740232</v>
      </c>
      <c r="D113" s="20">
        <v>306774</v>
      </c>
      <c r="E113" s="21">
        <f t="shared" si="36"/>
        <v>1047006</v>
      </c>
      <c r="F113" s="22">
        <f>SUM(F126:F126)</f>
        <v>0</v>
      </c>
      <c r="G113" s="22">
        <f>SUM(G114:G117)</f>
        <v>0</v>
      </c>
      <c r="H113" s="21">
        <f t="shared" si="37"/>
        <v>0</v>
      </c>
      <c r="I113" s="21">
        <f aca="true" t="shared" si="38" ref="I113:K128">C113+F113</f>
        <v>740232</v>
      </c>
      <c r="J113" s="21">
        <f t="shared" si="38"/>
        <v>306774</v>
      </c>
      <c r="K113" s="21">
        <f t="shared" si="38"/>
        <v>1047006</v>
      </c>
    </row>
    <row r="114" spans="1:11" s="55" customFormat="1" ht="15" customHeight="1">
      <c r="A114" s="54" t="s">
        <v>20</v>
      </c>
      <c r="B114" s="55" t="s">
        <v>44</v>
      </c>
      <c r="C114" s="56">
        <v>322166</v>
      </c>
      <c r="D114" s="56">
        <v>177346</v>
      </c>
      <c r="E114" s="57">
        <f t="shared" si="36"/>
        <v>499512</v>
      </c>
      <c r="F114" s="58">
        <v>0</v>
      </c>
      <c r="G114" s="58">
        <v>-4000</v>
      </c>
      <c r="H114" s="57">
        <f t="shared" si="37"/>
        <v>-4000</v>
      </c>
      <c r="I114" s="57">
        <f t="shared" si="38"/>
        <v>322166</v>
      </c>
      <c r="J114" s="57">
        <f t="shared" si="38"/>
        <v>173346</v>
      </c>
      <c r="K114" s="57">
        <f t="shared" si="38"/>
        <v>495512</v>
      </c>
    </row>
    <row r="115" spans="1:11" s="90" customFormat="1" ht="15" customHeight="1">
      <c r="A115" s="89" t="s">
        <v>56</v>
      </c>
      <c r="B115" s="90" t="s">
        <v>66</v>
      </c>
      <c r="C115" s="66">
        <v>1800</v>
      </c>
      <c r="D115" s="66">
        <v>11000</v>
      </c>
      <c r="E115" s="26">
        <f t="shared" si="36"/>
        <v>12800</v>
      </c>
      <c r="F115" s="84">
        <v>0</v>
      </c>
      <c r="G115" s="91">
        <v>4000</v>
      </c>
      <c r="H115" s="26">
        <f t="shared" si="37"/>
        <v>4000</v>
      </c>
      <c r="I115" s="26">
        <f t="shared" si="38"/>
        <v>1800</v>
      </c>
      <c r="J115" s="26">
        <f t="shared" si="38"/>
        <v>15000</v>
      </c>
      <c r="K115" s="26">
        <f t="shared" si="38"/>
        <v>16800</v>
      </c>
    </row>
    <row r="116" spans="1:11" s="70" customFormat="1" ht="15" customHeight="1">
      <c r="A116" s="127" t="s">
        <v>23</v>
      </c>
      <c r="B116" s="128" t="s">
        <v>24</v>
      </c>
      <c r="C116" s="129">
        <v>50335</v>
      </c>
      <c r="D116" s="129">
        <v>29700</v>
      </c>
      <c r="E116" s="114">
        <f t="shared" si="36"/>
        <v>80035</v>
      </c>
      <c r="F116" s="129">
        <v>0</v>
      </c>
      <c r="G116" s="129">
        <v>256</v>
      </c>
      <c r="H116" s="114">
        <f t="shared" si="37"/>
        <v>256</v>
      </c>
      <c r="I116" s="114">
        <f t="shared" si="38"/>
        <v>50335</v>
      </c>
      <c r="J116" s="114">
        <f t="shared" si="38"/>
        <v>29956</v>
      </c>
      <c r="K116" s="114">
        <f t="shared" si="38"/>
        <v>80291</v>
      </c>
    </row>
    <row r="117" spans="1:11" s="70" customFormat="1" ht="15" customHeight="1">
      <c r="A117" s="127" t="s">
        <v>113</v>
      </c>
      <c r="B117" s="128" t="s">
        <v>139</v>
      </c>
      <c r="C117" s="129">
        <v>4420</v>
      </c>
      <c r="D117" s="129">
        <v>6500</v>
      </c>
      <c r="E117" s="114">
        <f t="shared" si="36"/>
        <v>10920</v>
      </c>
      <c r="F117" s="129">
        <v>0</v>
      </c>
      <c r="G117" s="129">
        <v>-256</v>
      </c>
      <c r="H117" s="114">
        <f t="shared" si="37"/>
        <v>-256</v>
      </c>
      <c r="I117" s="114">
        <f t="shared" si="38"/>
        <v>4420</v>
      </c>
      <c r="J117" s="114">
        <f t="shared" si="38"/>
        <v>6244</v>
      </c>
      <c r="K117" s="114">
        <f t="shared" si="38"/>
        <v>10664</v>
      </c>
    </row>
    <row r="118" spans="1:11" s="33" customFormat="1" ht="15" customHeight="1">
      <c r="A118" s="32">
        <v>85212</v>
      </c>
      <c r="B118" s="33" t="s">
        <v>153</v>
      </c>
      <c r="C118" s="20">
        <v>15000</v>
      </c>
      <c r="D118" s="20">
        <v>16791600</v>
      </c>
      <c r="E118" s="21">
        <f t="shared" si="36"/>
        <v>16806600</v>
      </c>
      <c r="F118" s="22">
        <f>SUM(F119:F123)</f>
        <v>0</v>
      </c>
      <c r="G118" s="22">
        <f>SUM(G119:G126)</f>
        <v>0</v>
      </c>
      <c r="H118" s="21">
        <f t="shared" si="37"/>
        <v>0</v>
      </c>
      <c r="I118" s="21">
        <f t="shared" si="38"/>
        <v>15000</v>
      </c>
      <c r="J118" s="21">
        <f t="shared" si="38"/>
        <v>16791600</v>
      </c>
      <c r="K118" s="21">
        <f t="shared" si="38"/>
        <v>16806600</v>
      </c>
    </row>
    <row r="119" spans="1:11" s="55" customFormat="1" ht="15" customHeight="1">
      <c r="A119" s="54" t="s">
        <v>20</v>
      </c>
      <c r="B119" s="55" t="s">
        <v>44</v>
      </c>
      <c r="C119" s="56">
        <v>0</v>
      </c>
      <c r="D119" s="56">
        <v>200000</v>
      </c>
      <c r="E119" s="57">
        <f t="shared" si="36"/>
        <v>200000</v>
      </c>
      <c r="F119" s="58">
        <v>0</v>
      </c>
      <c r="G119" s="58">
        <v>15000</v>
      </c>
      <c r="H119" s="57">
        <f t="shared" si="37"/>
        <v>15000</v>
      </c>
      <c r="I119" s="57">
        <f aca="true" t="shared" si="39" ref="I119:K126">C119+F119</f>
        <v>0</v>
      </c>
      <c r="J119" s="57">
        <f t="shared" si="39"/>
        <v>215000</v>
      </c>
      <c r="K119" s="57">
        <f t="shared" si="39"/>
        <v>215000</v>
      </c>
    </row>
    <row r="120" spans="1:11" s="55" customFormat="1" ht="15" customHeight="1">
      <c r="A120" s="54" t="s">
        <v>53</v>
      </c>
      <c r="B120" s="55" t="s">
        <v>59</v>
      </c>
      <c r="C120" s="56">
        <v>0</v>
      </c>
      <c r="D120" s="56">
        <v>292500</v>
      </c>
      <c r="E120" s="57">
        <f t="shared" si="36"/>
        <v>292500</v>
      </c>
      <c r="F120" s="58">
        <v>0</v>
      </c>
      <c r="G120" s="58">
        <v>2620</v>
      </c>
      <c r="H120" s="57">
        <f t="shared" si="37"/>
        <v>2620</v>
      </c>
      <c r="I120" s="57">
        <f t="shared" si="39"/>
        <v>0</v>
      </c>
      <c r="J120" s="57">
        <f t="shared" si="39"/>
        <v>295120</v>
      </c>
      <c r="K120" s="57">
        <f t="shared" si="39"/>
        <v>295120</v>
      </c>
    </row>
    <row r="121" spans="1:11" s="59" customFormat="1" ht="15" customHeight="1">
      <c r="A121" s="54" t="s">
        <v>54</v>
      </c>
      <c r="B121" s="55" t="s">
        <v>55</v>
      </c>
      <c r="C121" s="58">
        <v>0</v>
      </c>
      <c r="D121" s="58">
        <v>5100</v>
      </c>
      <c r="E121" s="57">
        <f t="shared" si="36"/>
        <v>5100</v>
      </c>
      <c r="F121" s="58">
        <v>0</v>
      </c>
      <c r="G121" s="58">
        <v>524</v>
      </c>
      <c r="H121" s="57">
        <f t="shared" si="37"/>
        <v>524</v>
      </c>
      <c r="I121" s="57">
        <f t="shared" si="39"/>
        <v>0</v>
      </c>
      <c r="J121" s="57">
        <f t="shared" si="39"/>
        <v>5624</v>
      </c>
      <c r="K121" s="57">
        <f t="shared" si="39"/>
        <v>5624</v>
      </c>
    </row>
    <row r="122" spans="1:11" s="182" customFormat="1" ht="15" customHeight="1">
      <c r="A122" s="179" t="s">
        <v>21</v>
      </c>
      <c r="B122" s="180" t="s">
        <v>22</v>
      </c>
      <c r="C122" s="181">
        <v>0</v>
      </c>
      <c r="D122" s="181">
        <v>100000</v>
      </c>
      <c r="E122" s="61">
        <f t="shared" si="36"/>
        <v>100000</v>
      </c>
      <c r="F122" s="103">
        <v>0</v>
      </c>
      <c r="G122" s="181">
        <v>-3000</v>
      </c>
      <c r="H122" s="61">
        <f t="shared" si="37"/>
        <v>-3000</v>
      </c>
      <c r="I122" s="61">
        <f t="shared" si="39"/>
        <v>0</v>
      </c>
      <c r="J122" s="61">
        <f t="shared" si="39"/>
        <v>97000</v>
      </c>
      <c r="K122" s="61">
        <f t="shared" si="39"/>
        <v>97000</v>
      </c>
    </row>
    <row r="123" spans="1:11" s="59" customFormat="1" ht="15" customHeight="1">
      <c r="A123" s="54" t="s">
        <v>23</v>
      </c>
      <c r="B123" s="55" t="s">
        <v>24</v>
      </c>
      <c r="C123" s="58">
        <v>0</v>
      </c>
      <c r="D123" s="58">
        <v>17163</v>
      </c>
      <c r="E123" s="57">
        <f t="shared" si="36"/>
        <v>17163</v>
      </c>
      <c r="F123" s="58">
        <v>0</v>
      </c>
      <c r="G123" s="58">
        <v>-5603</v>
      </c>
      <c r="H123" s="57">
        <f t="shared" si="37"/>
        <v>-5603</v>
      </c>
      <c r="I123" s="57">
        <f t="shared" si="39"/>
        <v>0</v>
      </c>
      <c r="J123" s="57">
        <f t="shared" si="39"/>
        <v>11560</v>
      </c>
      <c r="K123" s="57">
        <f t="shared" si="39"/>
        <v>11560</v>
      </c>
    </row>
    <row r="124" spans="1:11" s="59" customFormat="1" ht="15" customHeight="1">
      <c r="A124" s="54" t="s">
        <v>90</v>
      </c>
      <c r="B124" s="55" t="s">
        <v>91</v>
      </c>
      <c r="C124" s="58">
        <v>0</v>
      </c>
      <c r="D124" s="58">
        <v>6000</v>
      </c>
      <c r="E124" s="57">
        <f t="shared" si="36"/>
        <v>6000</v>
      </c>
      <c r="F124" s="58">
        <v>0</v>
      </c>
      <c r="G124" s="58">
        <v>-6000</v>
      </c>
      <c r="H124" s="57">
        <f t="shared" si="37"/>
        <v>-6000</v>
      </c>
      <c r="I124" s="57">
        <f t="shared" si="39"/>
        <v>0</v>
      </c>
      <c r="J124" s="57">
        <f t="shared" si="39"/>
        <v>0</v>
      </c>
      <c r="K124" s="57">
        <f t="shared" si="39"/>
        <v>0</v>
      </c>
    </row>
    <row r="125" spans="1:11" s="24" customFormat="1" ht="15" customHeight="1">
      <c r="A125" s="34" t="s">
        <v>61</v>
      </c>
      <c r="B125" s="35" t="s">
        <v>62</v>
      </c>
      <c r="C125" s="27">
        <v>0</v>
      </c>
      <c r="D125" s="27">
        <v>5000</v>
      </c>
      <c r="E125" s="26">
        <f t="shared" si="36"/>
        <v>5000</v>
      </c>
      <c r="F125" s="27">
        <v>0</v>
      </c>
      <c r="G125" s="27">
        <v>-3620</v>
      </c>
      <c r="H125" s="26">
        <f t="shared" si="37"/>
        <v>-3620</v>
      </c>
      <c r="I125" s="26">
        <f t="shared" si="39"/>
        <v>0</v>
      </c>
      <c r="J125" s="26">
        <f t="shared" si="39"/>
        <v>1380</v>
      </c>
      <c r="K125" s="26">
        <f t="shared" si="39"/>
        <v>1380</v>
      </c>
    </row>
    <row r="126" spans="1:11" s="83" customFormat="1" ht="15" customHeight="1">
      <c r="A126" s="134" t="s">
        <v>113</v>
      </c>
      <c r="B126" s="128" t="s">
        <v>139</v>
      </c>
      <c r="C126" s="82">
        <v>0</v>
      </c>
      <c r="D126" s="82">
        <v>6800</v>
      </c>
      <c r="E126" s="135">
        <f t="shared" si="36"/>
        <v>6800</v>
      </c>
      <c r="F126" s="82">
        <v>0</v>
      </c>
      <c r="G126" s="82">
        <v>79</v>
      </c>
      <c r="H126" s="135">
        <f t="shared" si="37"/>
        <v>79</v>
      </c>
      <c r="I126" s="135">
        <f t="shared" si="39"/>
        <v>0</v>
      </c>
      <c r="J126" s="135">
        <f t="shared" si="39"/>
        <v>6879</v>
      </c>
      <c r="K126" s="135">
        <f t="shared" si="39"/>
        <v>6879</v>
      </c>
    </row>
    <row r="127" spans="1:11" s="86" customFormat="1" ht="15" customHeight="1">
      <c r="A127" s="106">
        <v>85213</v>
      </c>
      <c r="B127" s="107" t="s">
        <v>86</v>
      </c>
      <c r="C127" s="108">
        <v>617</v>
      </c>
      <c r="D127" s="108">
        <v>230177</v>
      </c>
      <c r="E127" s="109">
        <f t="shared" si="36"/>
        <v>230794</v>
      </c>
      <c r="F127" s="110">
        <f>SUM(F128:F128)</f>
        <v>68</v>
      </c>
      <c r="G127" s="110">
        <f>SUM(G128:G128)</f>
        <v>0</v>
      </c>
      <c r="H127" s="109">
        <f t="shared" si="37"/>
        <v>68</v>
      </c>
      <c r="I127" s="109">
        <f t="shared" si="38"/>
        <v>685</v>
      </c>
      <c r="J127" s="109">
        <f t="shared" si="38"/>
        <v>230177</v>
      </c>
      <c r="K127" s="109">
        <f t="shared" si="38"/>
        <v>230862</v>
      </c>
    </row>
    <row r="128" spans="1:11" s="63" customFormat="1" ht="15" customHeight="1">
      <c r="A128" s="111" t="s">
        <v>109</v>
      </c>
      <c r="B128" s="112" t="s">
        <v>110</v>
      </c>
      <c r="C128" s="113">
        <v>617</v>
      </c>
      <c r="D128" s="113">
        <v>0</v>
      </c>
      <c r="E128" s="114">
        <f t="shared" si="36"/>
        <v>617</v>
      </c>
      <c r="F128" s="84">
        <v>68</v>
      </c>
      <c r="G128" s="84">
        <v>0</v>
      </c>
      <c r="H128" s="114">
        <f t="shared" si="37"/>
        <v>68</v>
      </c>
      <c r="I128" s="114">
        <f t="shared" si="38"/>
        <v>685</v>
      </c>
      <c r="J128" s="114">
        <f t="shared" si="38"/>
        <v>0</v>
      </c>
      <c r="K128" s="114">
        <f t="shared" si="38"/>
        <v>685</v>
      </c>
    </row>
    <row r="129" spans="1:11" s="33" customFormat="1" ht="15" customHeight="1">
      <c r="A129" s="130">
        <v>85219</v>
      </c>
      <c r="B129" s="131" t="s">
        <v>125</v>
      </c>
      <c r="C129" s="132">
        <v>1326168</v>
      </c>
      <c r="D129" s="132">
        <v>1287103</v>
      </c>
      <c r="E129" s="109">
        <f t="shared" si="36"/>
        <v>2613271</v>
      </c>
      <c r="F129" s="133">
        <f>SUM(F130:F141)</f>
        <v>46117</v>
      </c>
      <c r="G129" s="133">
        <f>SUM(G130:G130)</f>
        <v>0</v>
      </c>
      <c r="H129" s="109">
        <f t="shared" si="37"/>
        <v>46117</v>
      </c>
      <c r="I129" s="109">
        <f aca="true" t="shared" si="40" ref="I129:J141">C129+F129</f>
        <v>1372285</v>
      </c>
      <c r="J129" s="109">
        <f t="shared" si="40"/>
        <v>1287103</v>
      </c>
      <c r="K129" s="109">
        <f>E129+H129</f>
        <v>2659388</v>
      </c>
    </row>
    <row r="130" spans="1:11" s="55" customFormat="1" ht="15" customHeight="1">
      <c r="A130" s="54" t="s">
        <v>53</v>
      </c>
      <c r="B130" s="55" t="s">
        <v>59</v>
      </c>
      <c r="C130" s="56">
        <v>160000</v>
      </c>
      <c r="D130" s="56">
        <v>164000</v>
      </c>
      <c r="E130" s="57">
        <f t="shared" si="36"/>
        <v>324000</v>
      </c>
      <c r="F130" s="58">
        <v>11500</v>
      </c>
      <c r="G130" s="58">
        <v>0</v>
      </c>
      <c r="H130" s="57">
        <f aca="true" t="shared" si="41" ref="H130:H141">F130+G130</f>
        <v>11500</v>
      </c>
      <c r="I130" s="57">
        <f t="shared" si="40"/>
        <v>171500</v>
      </c>
      <c r="J130" s="57">
        <f t="shared" si="40"/>
        <v>164000</v>
      </c>
      <c r="K130" s="57">
        <f aca="true" t="shared" si="42" ref="K130:K137">E130+H130</f>
        <v>335500</v>
      </c>
    </row>
    <row r="131" spans="1:11" s="59" customFormat="1" ht="15" customHeight="1">
      <c r="A131" s="54" t="s">
        <v>54</v>
      </c>
      <c r="B131" s="55" t="s">
        <v>55</v>
      </c>
      <c r="C131" s="58">
        <v>21350</v>
      </c>
      <c r="D131" s="58">
        <v>22650</v>
      </c>
      <c r="E131" s="57">
        <f t="shared" si="36"/>
        <v>44000</v>
      </c>
      <c r="F131" s="58">
        <v>2800</v>
      </c>
      <c r="G131" s="58">
        <v>0</v>
      </c>
      <c r="H131" s="57">
        <f t="shared" si="41"/>
        <v>2800</v>
      </c>
      <c r="I131" s="57">
        <f t="shared" si="40"/>
        <v>24150</v>
      </c>
      <c r="J131" s="57">
        <f t="shared" si="40"/>
        <v>22650</v>
      </c>
      <c r="K131" s="57">
        <f t="shared" si="42"/>
        <v>46800</v>
      </c>
    </row>
    <row r="132" spans="1:11" s="90" customFormat="1" ht="15" customHeight="1">
      <c r="A132" s="89" t="s">
        <v>56</v>
      </c>
      <c r="B132" s="90" t="s">
        <v>66</v>
      </c>
      <c r="C132" s="66">
        <v>3000</v>
      </c>
      <c r="D132" s="66">
        <v>0</v>
      </c>
      <c r="E132" s="26">
        <f t="shared" si="36"/>
        <v>3000</v>
      </c>
      <c r="F132" s="84">
        <v>1000</v>
      </c>
      <c r="G132" s="91">
        <v>0</v>
      </c>
      <c r="H132" s="26">
        <f t="shared" si="41"/>
        <v>1000</v>
      </c>
      <c r="I132" s="26">
        <f t="shared" si="40"/>
        <v>4000</v>
      </c>
      <c r="J132" s="26">
        <f t="shared" si="40"/>
        <v>0</v>
      </c>
      <c r="K132" s="26">
        <f t="shared" si="42"/>
        <v>4000</v>
      </c>
    </row>
    <row r="133" spans="1:11" s="69" customFormat="1" ht="15" customHeight="1">
      <c r="A133" s="62" t="s">
        <v>21</v>
      </c>
      <c r="B133" s="63" t="s">
        <v>22</v>
      </c>
      <c r="C133" s="65">
        <v>34110</v>
      </c>
      <c r="D133" s="65">
        <v>7800</v>
      </c>
      <c r="E133" s="57">
        <f t="shared" si="36"/>
        <v>41910</v>
      </c>
      <c r="F133" s="84">
        <v>15000</v>
      </c>
      <c r="G133" s="65">
        <v>0</v>
      </c>
      <c r="H133" s="57">
        <f t="shared" si="41"/>
        <v>15000</v>
      </c>
      <c r="I133" s="57">
        <f t="shared" si="40"/>
        <v>49110</v>
      </c>
      <c r="J133" s="57">
        <f t="shared" si="40"/>
        <v>7800</v>
      </c>
      <c r="K133" s="57">
        <f t="shared" si="42"/>
        <v>56910</v>
      </c>
    </row>
    <row r="134" spans="1:11" s="59" customFormat="1" ht="15" customHeight="1">
      <c r="A134" s="54" t="s">
        <v>23</v>
      </c>
      <c r="B134" s="55" t="s">
        <v>24</v>
      </c>
      <c r="C134" s="58">
        <v>15000</v>
      </c>
      <c r="D134" s="58">
        <v>18200</v>
      </c>
      <c r="E134" s="57">
        <f t="shared" si="36"/>
        <v>33200</v>
      </c>
      <c r="F134" s="58">
        <v>6000</v>
      </c>
      <c r="G134" s="58">
        <v>0</v>
      </c>
      <c r="H134" s="57">
        <f t="shared" si="41"/>
        <v>6000</v>
      </c>
      <c r="I134" s="57">
        <f t="shared" si="40"/>
        <v>21000</v>
      </c>
      <c r="J134" s="57">
        <f t="shared" si="40"/>
        <v>18200</v>
      </c>
      <c r="K134" s="57">
        <f t="shared" si="42"/>
        <v>39200</v>
      </c>
    </row>
    <row r="135" spans="1:11" s="69" customFormat="1" ht="15" customHeight="1">
      <c r="A135" s="62" t="s">
        <v>26</v>
      </c>
      <c r="B135" s="63" t="s">
        <v>27</v>
      </c>
      <c r="C135" s="65">
        <v>8000</v>
      </c>
      <c r="D135" s="65">
        <v>0</v>
      </c>
      <c r="E135" s="57">
        <f t="shared" si="36"/>
        <v>8000</v>
      </c>
      <c r="F135" s="84">
        <v>-192</v>
      </c>
      <c r="G135" s="65">
        <v>0</v>
      </c>
      <c r="H135" s="57">
        <f t="shared" si="41"/>
        <v>-192</v>
      </c>
      <c r="I135" s="57">
        <f t="shared" si="40"/>
        <v>7808</v>
      </c>
      <c r="J135" s="57">
        <f t="shared" si="40"/>
        <v>0</v>
      </c>
      <c r="K135" s="57">
        <f t="shared" si="42"/>
        <v>7808</v>
      </c>
    </row>
    <row r="136" spans="1:11" s="90" customFormat="1" ht="15" customHeight="1">
      <c r="A136" s="111" t="s">
        <v>16</v>
      </c>
      <c r="B136" s="112" t="s">
        <v>17</v>
      </c>
      <c r="C136" s="113">
        <v>54068</v>
      </c>
      <c r="D136" s="113">
        <v>8150</v>
      </c>
      <c r="E136" s="114">
        <f t="shared" si="36"/>
        <v>62218</v>
      </c>
      <c r="F136" s="84">
        <v>12000</v>
      </c>
      <c r="G136" s="84">
        <v>0</v>
      </c>
      <c r="H136" s="114">
        <f t="shared" si="41"/>
        <v>12000</v>
      </c>
      <c r="I136" s="114">
        <f t="shared" si="40"/>
        <v>66068</v>
      </c>
      <c r="J136" s="114">
        <f t="shared" si="40"/>
        <v>8150</v>
      </c>
      <c r="K136" s="114">
        <f t="shared" si="42"/>
        <v>74218</v>
      </c>
    </row>
    <row r="137" spans="1:11" s="59" customFormat="1" ht="15" customHeight="1">
      <c r="A137" s="54" t="s">
        <v>90</v>
      </c>
      <c r="B137" s="55" t="s">
        <v>91</v>
      </c>
      <c r="C137" s="58">
        <v>4500</v>
      </c>
      <c r="D137" s="58">
        <v>0</v>
      </c>
      <c r="E137" s="57">
        <f t="shared" si="36"/>
        <v>4500</v>
      </c>
      <c r="F137" s="58">
        <v>70</v>
      </c>
      <c r="G137" s="58">
        <v>0</v>
      </c>
      <c r="H137" s="57">
        <f t="shared" si="41"/>
        <v>70</v>
      </c>
      <c r="I137" s="57">
        <f t="shared" si="40"/>
        <v>4570</v>
      </c>
      <c r="J137" s="57">
        <f t="shared" si="40"/>
        <v>0</v>
      </c>
      <c r="K137" s="57">
        <f t="shared" si="42"/>
        <v>4570</v>
      </c>
    </row>
    <row r="138" spans="1:11" s="24" customFormat="1" ht="15" customHeight="1">
      <c r="A138" s="34" t="s">
        <v>61</v>
      </c>
      <c r="B138" s="35" t="s">
        <v>62</v>
      </c>
      <c r="C138" s="27">
        <v>7900</v>
      </c>
      <c r="D138" s="27">
        <v>5100</v>
      </c>
      <c r="E138" s="26">
        <f t="shared" si="36"/>
        <v>13000</v>
      </c>
      <c r="F138" s="27">
        <v>-4000</v>
      </c>
      <c r="G138" s="27">
        <v>0</v>
      </c>
      <c r="H138" s="26">
        <f t="shared" si="41"/>
        <v>-4000</v>
      </c>
      <c r="I138" s="26">
        <f t="shared" si="40"/>
        <v>3900</v>
      </c>
      <c r="J138" s="26">
        <f t="shared" si="40"/>
        <v>5100</v>
      </c>
      <c r="K138" s="26">
        <f>E138+H138</f>
        <v>9000</v>
      </c>
    </row>
    <row r="139" spans="1:11" s="59" customFormat="1" ht="15" customHeight="1">
      <c r="A139" s="127" t="s">
        <v>126</v>
      </c>
      <c r="B139" s="128" t="s">
        <v>124</v>
      </c>
      <c r="C139" s="129">
        <v>500</v>
      </c>
      <c r="D139" s="129">
        <v>1000</v>
      </c>
      <c r="E139" s="114">
        <f t="shared" si="36"/>
        <v>1500</v>
      </c>
      <c r="F139" s="129">
        <v>128</v>
      </c>
      <c r="G139" s="129">
        <v>0</v>
      </c>
      <c r="H139" s="114">
        <f t="shared" si="41"/>
        <v>128</v>
      </c>
      <c r="I139" s="114">
        <f t="shared" si="40"/>
        <v>628</v>
      </c>
      <c r="J139" s="114">
        <f t="shared" si="40"/>
        <v>1000</v>
      </c>
      <c r="K139" s="114">
        <f>E139+H139</f>
        <v>1628</v>
      </c>
    </row>
    <row r="140" spans="1:11" s="59" customFormat="1" ht="15" customHeight="1">
      <c r="A140" s="127" t="s">
        <v>113</v>
      </c>
      <c r="B140" s="128" t="s">
        <v>139</v>
      </c>
      <c r="C140" s="129">
        <v>30000</v>
      </c>
      <c r="D140" s="129">
        <v>25500</v>
      </c>
      <c r="E140" s="114">
        <f t="shared" si="36"/>
        <v>55500</v>
      </c>
      <c r="F140" s="129">
        <v>1855</v>
      </c>
      <c r="G140" s="129">
        <v>0</v>
      </c>
      <c r="H140" s="114">
        <f>F140+G140</f>
        <v>1855</v>
      </c>
      <c r="I140" s="114">
        <f>C140+F140</f>
        <v>31855</v>
      </c>
      <c r="J140" s="114">
        <f>D140+G140</f>
        <v>25500</v>
      </c>
      <c r="K140" s="114">
        <f>E140+H140</f>
        <v>57355</v>
      </c>
    </row>
    <row r="141" spans="1:11" s="28" customFormat="1" ht="15" customHeight="1">
      <c r="A141" s="37" t="s">
        <v>42</v>
      </c>
      <c r="B141" s="38" t="s">
        <v>43</v>
      </c>
      <c r="C141" s="39">
        <v>12000</v>
      </c>
      <c r="D141" s="39">
        <v>0</v>
      </c>
      <c r="E141" s="30">
        <f t="shared" si="36"/>
        <v>12000</v>
      </c>
      <c r="F141" s="39">
        <v>-44</v>
      </c>
      <c r="G141" s="39">
        <v>0</v>
      </c>
      <c r="H141" s="30">
        <f t="shared" si="41"/>
        <v>-44</v>
      </c>
      <c r="I141" s="30">
        <f t="shared" si="40"/>
        <v>11956</v>
      </c>
      <c r="J141" s="30">
        <f t="shared" si="40"/>
        <v>0</v>
      </c>
      <c r="K141" s="30">
        <f>E141+H141</f>
        <v>11956</v>
      </c>
    </row>
    <row r="142" spans="1:11" s="19" customFormat="1" ht="15" customHeight="1">
      <c r="A142" s="9" t="s">
        <v>31</v>
      </c>
      <c r="B142" s="10" t="s">
        <v>32</v>
      </c>
      <c r="C142" s="11">
        <v>3248050</v>
      </c>
      <c r="D142" s="11">
        <v>420631</v>
      </c>
      <c r="E142" s="4">
        <f t="shared" si="36"/>
        <v>3668681</v>
      </c>
      <c r="F142" s="11">
        <f>F145+F150</f>
        <v>21050</v>
      </c>
      <c r="G142" s="11">
        <v>0</v>
      </c>
      <c r="H142" s="4">
        <f>F142+G142</f>
        <v>21050</v>
      </c>
      <c r="I142" s="4">
        <f>C142+F142</f>
        <v>3269100</v>
      </c>
      <c r="J142" s="4">
        <f>D142+G142</f>
        <v>420631</v>
      </c>
      <c r="K142" s="4">
        <f>E142+H142</f>
        <v>3689731</v>
      </c>
    </row>
    <row r="143" spans="1:11" s="24" customFormat="1" ht="15" customHeight="1">
      <c r="A143" s="12"/>
      <c r="B143" s="13" t="s">
        <v>10</v>
      </c>
      <c r="C143" s="14"/>
      <c r="D143" s="14"/>
      <c r="E143" s="6"/>
      <c r="F143" s="14"/>
      <c r="G143" s="14"/>
      <c r="H143" s="6"/>
      <c r="I143" s="6"/>
      <c r="J143" s="6"/>
      <c r="K143" s="6"/>
    </row>
    <row r="144" spans="1:11" s="28" customFormat="1" ht="15" customHeight="1">
      <c r="A144" s="15"/>
      <c r="B144" s="7" t="s">
        <v>76</v>
      </c>
      <c r="C144" s="17">
        <v>0</v>
      </c>
      <c r="D144" s="17">
        <v>0</v>
      </c>
      <c r="E144" s="8">
        <f aca="true" t="shared" si="43" ref="E144:E153">SUM(C144:D144)</f>
        <v>0</v>
      </c>
      <c r="F144" s="17">
        <v>0</v>
      </c>
      <c r="G144" s="17">
        <v>0</v>
      </c>
      <c r="H144" s="8">
        <f aca="true" t="shared" si="44" ref="H144:H153">F144+G144</f>
        <v>0</v>
      </c>
      <c r="I144" s="8">
        <f aca="true" t="shared" si="45" ref="I144:K151">C144+F144</f>
        <v>0</v>
      </c>
      <c r="J144" s="8">
        <f t="shared" si="45"/>
        <v>0</v>
      </c>
      <c r="K144" s="8">
        <f t="shared" si="45"/>
        <v>0</v>
      </c>
    </row>
    <row r="145" spans="1:11" s="67" customFormat="1" ht="15" customHeight="1">
      <c r="A145" s="72">
        <v>85401</v>
      </c>
      <c r="B145" s="73" t="s">
        <v>68</v>
      </c>
      <c r="C145" s="68">
        <v>3057917</v>
      </c>
      <c r="D145" s="68">
        <v>0</v>
      </c>
      <c r="E145" s="52">
        <f t="shared" si="43"/>
        <v>3057917</v>
      </c>
      <c r="F145" s="74">
        <f>SUM(F146:F149)</f>
        <v>21800</v>
      </c>
      <c r="G145" s="74">
        <v>0</v>
      </c>
      <c r="H145" s="52">
        <f t="shared" si="44"/>
        <v>21800</v>
      </c>
      <c r="I145" s="52">
        <f t="shared" si="45"/>
        <v>3079717</v>
      </c>
      <c r="J145" s="52">
        <f t="shared" si="45"/>
        <v>0</v>
      </c>
      <c r="K145" s="52">
        <f t="shared" si="45"/>
        <v>3079717</v>
      </c>
    </row>
    <row r="146" spans="1:11" s="55" customFormat="1" ht="15" customHeight="1">
      <c r="A146" s="54" t="s">
        <v>20</v>
      </c>
      <c r="B146" s="55" t="s">
        <v>44</v>
      </c>
      <c r="C146" s="56">
        <v>1558932</v>
      </c>
      <c r="D146" s="56">
        <v>0</v>
      </c>
      <c r="E146" s="57">
        <f t="shared" si="43"/>
        <v>1558932</v>
      </c>
      <c r="F146" s="58">
        <f>16000+3000+2</f>
        <v>19002</v>
      </c>
      <c r="G146" s="58">
        <v>0</v>
      </c>
      <c r="H146" s="57">
        <f t="shared" si="44"/>
        <v>19002</v>
      </c>
      <c r="I146" s="57">
        <f t="shared" si="45"/>
        <v>1577934</v>
      </c>
      <c r="J146" s="57">
        <f t="shared" si="45"/>
        <v>0</v>
      </c>
      <c r="K146" s="57">
        <f t="shared" si="45"/>
        <v>1577934</v>
      </c>
    </row>
    <row r="147" spans="1:11" s="35" customFormat="1" ht="15" customHeight="1">
      <c r="A147" s="34" t="s">
        <v>34</v>
      </c>
      <c r="B147" s="35" t="s">
        <v>65</v>
      </c>
      <c r="C147" s="25">
        <v>118734</v>
      </c>
      <c r="D147" s="25">
        <v>0</v>
      </c>
      <c r="E147" s="26">
        <f t="shared" si="43"/>
        <v>118734</v>
      </c>
      <c r="F147" s="27">
        <f>-2</f>
        <v>-2</v>
      </c>
      <c r="G147" s="27">
        <v>0</v>
      </c>
      <c r="H147" s="26">
        <f t="shared" si="44"/>
        <v>-2</v>
      </c>
      <c r="I147" s="26">
        <f t="shared" si="45"/>
        <v>118732</v>
      </c>
      <c r="J147" s="26">
        <f t="shared" si="45"/>
        <v>0</v>
      </c>
      <c r="K147" s="26">
        <f t="shared" si="45"/>
        <v>118732</v>
      </c>
    </row>
    <row r="148" spans="1:11" s="55" customFormat="1" ht="15" customHeight="1">
      <c r="A148" s="54" t="s">
        <v>53</v>
      </c>
      <c r="B148" s="55" t="s">
        <v>59</v>
      </c>
      <c r="C148" s="56">
        <v>290650</v>
      </c>
      <c r="D148" s="56">
        <v>0</v>
      </c>
      <c r="E148" s="57">
        <f>SUM(C148:D148)</f>
        <v>290650</v>
      </c>
      <c r="F148" s="58">
        <f>2000+400</f>
        <v>2400</v>
      </c>
      <c r="G148" s="58">
        <v>0</v>
      </c>
      <c r="H148" s="57">
        <f t="shared" si="44"/>
        <v>2400</v>
      </c>
      <c r="I148" s="57">
        <f t="shared" si="45"/>
        <v>293050</v>
      </c>
      <c r="J148" s="57">
        <f t="shared" si="45"/>
        <v>0</v>
      </c>
      <c r="K148" s="57">
        <f t="shared" si="45"/>
        <v>293050</v>
      </c>
    </row>
    <row r="149" spans="1:11" s="59" customFormat="1" ht="15" customHeight="1">
      <c r="A149" s="54" t="s">
        <v>54</v>
      </c>
      <c r="B149" s="55" t="s">
        <v>55</v>
      </c>
      <c r="C149" s="58">
        <v>41603</v>
      </c>
      <c r="D149" s="58">
        <v>0</v>
      </c>
      <c r="E149" s="57">
        <f>SUM(C149:D149)</f>
        <v>41603</v>
      </c>
      <c r="F149" s="58">
        <v>400</v>
      </c>
      <c r="G149" s="58">
        <v>0</v>
      </c>
      <c r="H149" s="57">
        <f t="shared" si="44"/>
        <v>400</v>
      </c>
      <c r="I149" s="57">
        <f t="shared" si="45"/>
        <v>42003</v>
      </c>
      <c r="J149" s="57">
        <f t="shared" si="45"/>
        <v>0</v>
      </c>
      <c r="K149" s="57">
        <f t="shared" si="45"/>
        <v>42003</v>
      </c>
    </row>
    <row r="150" spans="1:11" s="67" customFormat="1" ht="15" customHeight="1">
      <c r="A150" s="106">
        <v>85495</v>
      </c>
      <c r="B150" s="107" t="s">
        <v>37</v>
      </c>
      <c r="C150" s="110">
        <v>9900</v>
      </c>
      <c r="D150" s="110">
        <v>0</v>
      </c>
      <c r="E150" s="109">
        <f t="shared" si="43"/>
        <v>9900</v>
      </c>
      <c r="F150" s="110">
        <f>F151</f>
        <v>-750</v>
      </c>
      <c r="G150" s="110">
        <f>SUM(G151:G151)</f>
        <v>0</v>
      </c>
      <c r="H150" s="109">
        <f t="shared" si="44"/>
        <v>-750</v>
      </c>
      <c r="I150" s="109">
        <f t="shared" si="45"/>
        <v>9150</v>
      </c>
      <c r="J150" s="109">
        <f t="shared" si="45"/>
        <v>0</v>
      </c>
      <c r="K150" s="109">
        <f>SUM(E150+H150)</f>
        <v>9150</v>
      </c>
    </row>
    <row r="151" spans="1:11" s="63" customFormat="1" ht="15" customHeight="1">
      <c r="A151" s="111" t="s">
        <v>21</v>
      </c>
      <c r="B151" s="112" t="s">
        <v>22</v>
      </c>
      <c r="C151" s="113">
        <v>9600</v>
      </c>
      <c r="D151" s="113">
        <v>0</v>
      </c>
      <c r="E151" s="114">
        <f t="shared" si="43"/>
        <v>9600</v>
      </c>
      <c r="F151" s="84">
        <v>-750</v>
      </c>
      <c r="G151" s="84">
        <v>0</v>
      </c>
      <c r="H151" s="114">
        <f t="shared" si="44"/>
        <v>-750</v>
      </c>
      <c r="I151" s="114">
        <f t="shared" si="45"/>
        <v>8850</v>
      </c>
      <c r="J151" s="114">
        <f t="shared" si="45"/>
        <v>0</v>
      </c>
      <c r="K151" s="114">
        <f>E151+H151</f>
        <v>8850</v>
      </c>
    </row>
    <row r="152" spans="1:11" s="163" customFormat="1" ht="15" customHeight="1">
      <c r="A152" s="159"/>
      <c r="B152" s="160"/>
      <c r="C152" s="161"/>
      <c r="D152" s="161"/>
      <c r="E152" s="153"/>
      <c r="F152" s="162"/>
      <c r="G152" s="162"/>
      <c r="H152" s="153"/>
      <c r="I152" s="153"/>
      <c r="J152" s="153"/>
      <c r="K152" s="153"/>
    </row>
    <row r="153" spans="1:11" s="42" customFormat="1" ht="15" customHeight="1">
      <c r="A153" s="43" t="s">
        <v>47</v>
      </c>
      <c r="B153" s="44" t="s">
        <v>48</v>
      </c>
      <c r="C153" s="45">
        <v>10622011</v>
      </c>
      <c r="D153" s="45">
        <v>0</v>
      </c>
      <c r="E153" s="46">
        <f t="shared" si="43"/>
        <v>10622011</v>
      </c>
      <c r="F153" s="45">
        <f>F156+F159</f>
        <v>-737000</v>
      </c>
      <c r="G153" s="45">
        <f>G159</f>
        <v>0</v>
      </c>
      <c r="H153" s="46">
        <f t="shared" si="44"/>
        <v>-737000</v>
      </c>
      <c r="I153" s="46">
        <f>C153+F153</f>
        <v>9885011</v>
      </c>
      <c r="J153" s="46">
        <f>D153+G153</f>
        <v>0</v>
      </c>
      <c r="K153" s="46">
        <f>E153+H153</f>
        <v>9885011</v>
      </c>
    </row>
    <row r="154" spans="1:11" s="42" customFormat="1" ht="15" customHeight="1">
      <c r="A154" s="43"/>
      <c r="B154" s="44" t="s">
        <v>10</v>
      </c>
      <c r="C154" s="45"/>
      <c r="D154" s="45"/>
      <c r="E154" s="46"/>
      <c r="F154" s="45"/>
      <c r="G154" s="45"/>
      <c r="H154" s="46"/>
      <c r="I154" s="46"/>
      <c r="J154" s="46"/>
      <c r="K154" s="46"/>
    </row>
    <row r="155" spans="1:11" s="42" customFormat="1" ht="15" customHeight="1">
      <c r="A155" s="47"/>
      <c r="B155" s="7" t="s">
        <v>76</v>
      </c>
      <c r="C155" s="48">
        <v>3645500</v>
      </c>
      <c r="D155" s="48">
        <v>0</v>
      </c>
      <c r="E155" s="49">
        <f>SUM(C155:D155)</f>
        <v>3645500</v>
      </c>
      <c r="F155" s="48">
        <f>F164+F158</f>
        <v>-500000</v>
      </c>
      <c r="G155" s="48">
        <v>0</v>
      </c>
      <c r="H155" s="49">
        <f>F155+G155</f>
        <v>-500000</v>
      </c>
      <c r="I155" s="49">
        <f>C155+F155</f>
        <v>3145500</v>
      </c>
      <c r="J155" s="49">
        <f>D155+G155</f>
        <v>0</v>
      </c>
      <c r="K155" s="49">
        <f>E155+H155</f>
        <v>3145500</v>
      </c>
    </row>
    <row r="156" spans="1:11" s="67" customFormat="1" ht="15" customHeight="1">
      <c r="A156" s="72">
        <v>90015</v>
      </c>
      <c r="B156" s="73" t="s">
        <v>121</v>
      </c>
      <c r="C156" s="68">
        <v>2630000</v>
      </c>
      <c r="D156" s="68">
        <v>0</v>
      </c>
      <c r="E156" s="52">
        <f>SUM(C156:D156)</f>
        <v>2630000</v>
      </c>
      <c r="F156" s="74">
        <f>SUM(F157:F158)</f>
        <v>-320000</v>
      </c>
      <c r="G156" s="74">
        <v>0</v>
      </c>
      <c r="H156" s="52">
        <f>F156+G156</f>
        <v>-320000</v>
      </c>
      <c r="I156" s="52">
        <f aca="true" t="shared" si="46" ref="I156:K164">C156+F156</f>
        <v>2310000</v>
      </c>
      <c r="J156" s="52">
        <f t="shared" si="46"/>
        <v>0</v>
      </c>
      <c r="K156" s="52">
        <f t="shared" si="46"/>
        <v>2310000</v>
      </c>
    </row>
    <row r="157" spans="1:11" s="24" customFormat="1" ht="15" customHeight="1">
      <c r="A157" s="23" t="s">
        <v>26</v>
      </c>
      <c r="B157" s="24" t="s">
        <v>27</v>
      </c>
      <c r="C157" s="25">
        <v>700000</v>
      </c>
      <c r="D157" s="25">
        <v>0</v>
      </c>
      <c r="E157" s="26">
        <f>SUM(C157:D157)</f>
        <v>700000</v>
      </c>
      <c r="F157" s="81">
        <f>-30000-230000</f>
        <v>-260000</v>
      </c>
      <c r="G157" s="25">
        <v>0</v>
      </c>
      <c r="H157" s="26">
        <f>F157+G157</f>
        <v>-260000</v>
      </c>
      <c r="I157" s="26">
        <f t="shared" si="46"/>
        <v>440000</v>
      </c>
      <c r="J157" s="26">
        <f t="shared" si="46"/>
        <v>0</v>
      </c>
      <c r="K157" s="26">
        <f t="shared" si="46"/>
        <v>440000</v>
      </c>
    </row>
    <row r="158" spans="1:11" s="83" customFormat="1" ht="15" customHeight="1">
      <c r="A158" s="134" t="s">
        <v>42</v>
      </c>
      <c r="B158" s="149" t="s">
        <v>43</v>
      </c>
      <c r="C158" s="104">
        <v>330000</v>
      </c>
      <c r="D158" s="104">
        <v>0</v>
      </c>
      <c r="E158" s="135">
        <f>SUM(C158:D158)</f>
        <v>330000</v>
      </c>
      <c r="F158" s="82">
        <v>-60000</v>
      </c>
      <c r="G158" s="82">
        <v>0</v>
      </c>
      <c r="H158" s="135">
        <f>F158+G158</f>
        <v>-60000</v>
      </c>
      <c r="I158" s="135">
        <f>C158+F158</f>
        <v>270000</v>
      </c>
      <c r="J158" s="135">
        <f>D158+G158</f>
        <v>0</v>
      </c>
      <c r="K158" s="135">
        <f>E158+H158</f>
        <v>270000</v>
      </c>
    </row>
    <row r="159" spans="1:11" s="169" customFormat="1" ht="15" customHeight="1">
      <c r="A159" s="166">
        <v>90095</v>
      </c>
      <c r="B159" s="165" t="s">
        <v>37</v>
      </c>
      <c r="C159" s="167">
        <v>5416254</v>
      </c>
      <c r="D159" s="167">
        <v>0</v>
      </c>
      <c r="E159" s="168">
        <f aca="true" t="shared" si="47" ref="E159:E164">SUM(C159:D159)</f>
        <v>5416254</v>
      </c>
      <c r="F159" s="167">
        <f>SUM(F160:F164)</f>
        <v>-417000</v>
      </c>
      <c r="G159" s="167">
        <v>0</v>
      </c>
      <c r="H159" s="168">
        <f aca="true" t="shared" si="48" ref="H159:H164">F159+G159</f>
        <v>-417000</v>
      </c>
      <c r="I159" s="168">
        <f t="shared" si="46"/>
        <v>4999254</v>
      </c>
      <c r="J159" s="168">
        <f t="shared" si="46"/>
        <v>0</v>
      </c>
      <c r="K159" s="168">
        <f t="shared" si="46"/>
        <v>4999254</v>
      </c>
    </row>
    <row r="160" spans="1:11" s="55" customFormat="1" ht="15" customHeight="1">
      <c r="A160" s="54" t="s">
        <v>53</v>
      </c>
      <c r="B160" s="55" t="s">
        <v>59</v>
      </c>
      <c r="C160" s="56">
        <v>30215</v>
      </c>
      <c r="D160" s="56">
        <v>0</v>
      </c>
      <c r="E160" s="57">
        <f t="shared" si="47"/>
        <v>30215</v>
      </c>
      <c r="F160" s="58">
        <v>4500</v>
      </c>
      <c r="G160" s="58">
        <v>0</v>
      </c>
      <c r="H160" s="57">
        <f t="shared" si="48"/>
        <v>4500</v>
      </c>
      <c r="I160" s="57">
        <f t="shared" si="46"/>
        <v>34715</v>
      </c>
      <c r="J160" s="57">
        <f t="shared" si="46"/>
        <v>0</v>
      </c>
      <c r="K160" s="57">
        <f t="shared" si="46"/>
        <v>34715</v>
      </c>
    </row>
    <row r="161" spans="1:11" s="59" customFormat="1" ht="15" customHeight="1">
      <c r="A161" s="54" t="s">
        <v>54</v>
      </c>
      <c r="B161" s="55" t="s">
        <v>55</v>
      </c>
      <c r="C161" s="58">
        <v>4625</v>
      </c>
      <c r="D161" s="58">
        <v>0</v>
      </c>
      <c r="E161" s="57">
        <f t="shared" si="47"/>
        <v>4625</v>
      </c>
      <c r="F161" s="58">
        <v>675</v>
      </c>
      <c r="G161" s="58">
        <v>0</v>
      </c>
      <c r="H161" s="57">
        <f t="shared" si="48"/>
        <v>675</v>
      </c>
      <c r="I161" s="57">
        <f t="shared" si="46"/>
        <v>5300</v>
      </c>
      <c r="J161" s="57">
        <f t="shared" si="46"/>
        <v>0</v>
      </c>
      <c r="K161" s="57">
        <f t="shared" si="46"/>
        <v>5300</v>
      </c>
    </row>
    <row r="162" spans="1:11" s="55" customFormat="1" ht="15" customHeight="1">
      <c r="A162" s="127" t="s">
        <v>56</v>
      </c>
      <c r="B162" s="128" t="s">
        <v>66</v>
      </c>
      <c r="C162" s="81">
        <v>63400</v>
      </c>
      <c r="D162" s="81">
        <v>0</v>
      </c>
      <c r="E162" s="114">
        <f>SUM(C162:D162)</f>
        <v>63400</v>
      </c>
      <c r="F162" s="129">
        <v>22300</v>
      </c>
      <c r="G162" s="129">
        <v>0</v>
      </c>
      <c r="H162" s="114">
        <f t="shared" si="48"/>
        <v>22300</v>
      </c>
      <c r="I162" s="114">
        <f t="shared" si="46"/>
        <v>85700</v>
      </c>
      <c r="J162" s="114">
        <f t="shared" si="46"/>
        <v>0</v>
      </c>
      <c r="K162" s="114">
        <f t="shared" si="46"/>
        <v>85700</v>
      </c>
    </row>
    <row r="163" spans="1:11" s="90" customFormat="1" ht="15" customHeight="1">
      <c r="A163" s="111" t="s">
        <v>16</v>
      </c>
      <c r="B163" s="112" t="s">
        <v>17</v>
      </c>
      <c r="C163" s="113">
        <v>1105089</v>
      </c>
      <c r="D163" s="113">
        <v>0</v>
      </c>
      <c r="E163" s="114">
        <f t="shared" si="47"/>
        <v>1105089</v>
      </c>
      <c r="F163" s="84">
        <f>-27475+30000-7000</f>
        <v>-4475</v>
      </c>
      <c r="G163" s="84">
        <v>0</v>
      </c>
      <c r="H163" s="114">
        <f t="shared" si="48"/>
        <v>-4475</v>
      </c>
      <c r="I163" s="114">
        <f t="shared" si="46"/>
        <v>1100614</v>
      </c>
      <c r="J163" s="114">
        <f t="shared" si="46"/>
        <v>0</v>
      </c>
      <c r="K163" s="114">
        <f t="shared" si="46"/>
        <v>1100614</v>
      </c>
    </row>
    <row r="164" spans="1:11" s="59" customFormat="1" ht="15" customHeight="1">
      <c r="A164" s="127" t="s">
        <v>42</v>
      </c>
      <c r="B164" s="128" t="s">
        <v>43</v>
      </c>
      <c r="C164" s="81">
        <v>3130500</v>
      </c>
      <c r="D164" s="81">
        <v>0</v>
      </c>
      <c r="E164" s="114">
        <f t="shared" si="47"/>
        <v>3130500</v>
      </c>
      <c r="F164" s="129">
        <v>-440000</v>
      </c>
      <c r="G164" s="129">
        <v>0</v>
      </c>
      <c r="H164" s="114">
        <f t="shared" si="48"/>
        <v>-440000</v>
      </c>
      <c r="I164" s="114">
        <f t="shared" si="46"/>
        <v>2690500</v>
      </c>
      <c r="J164" s="114">
        <f t="shared" si="46"/>
        <v>0</v>
      </c>
      <c r="K164" s="114">
        <f t="shared" si="46"/>
        <v>2690500</v>
      </c>
    </row>
    <row r="165" spans="1:11" s="95" customFormat="1" ht="15" customHeight="1">
      <c r="A165" s="92" t="s">
        <v>92</v>
      </c>
      <c r="B165" s="93" t="s">
        <v>93</v>
      </c>
      <c r="C165" s="94">
        <v>2894782</v>
      </c>
      <c r="D165" s="94">
        <v>39000</v>
      </c>
      <c r="E165" s="4">
        <f>SUM(C165:D165)</f>
        <v>2933782</v>
      </c>
      <c r="F165" s="94">
        <f>F172+F168+F170</f>
        <v>184400</v>
      </c>
      <c r="G165" s="94">
        <v>0</v>
      </c>
      <c r="H165" s="4">
        <f>F165+G165</f>
        <v>184400</v>
      </c>
      <c r="I165" s="4">
        <f>C165+F165</f>
        <v>3079182</v>
      </c>
      <c r="J165" s="4">
        <f>D165+G165</f>
        <v>39000</v>
      </c>
      <c r="K165" s="4">
        <f>E165+H165</f>
        <v>3118182</v>
      </c>
    </row>
    <row r="166" spans="1:11" s="99" customFormat="1" ht="15" customHeight="1">
      <c r="A166" s="96"/>
      <c r="B166" s="97" t="s">
        <v>10</v>
      </c>
      <c r="C166" s="98"/>
      <c r="D166" s="98"/>
      <c r="E166" s="6"/>
      <c r="F166" s="98"/>
      <c r="G166" s="98"/>
      <c r="H166" s="6"/>
      <c r="I166" s="6"/>
      <c r="J166" s="6"/>
      <c r="K166" s="6"/>
    </row>
    <row r="167" spans="1:11" s="102" customFormat="1" ht="15" customHeight="1">
      <c r="A167" s="100"/>
      <c r="B167" s="7" t="s">
        <v>76</v>
      </c>
      <c r="C167" s="101">
        <v>215000</v>
      </c>
      <c r="D167" s="101">
        <v>34000</v>
      </c>
      <c r="E167" s="8">
        <f aca="true" t="shared" si="49" ref="E167:E177">SUM(C167:D167)</f>
        <v>249000</v>
      </c>
      <c r="F167" s="101">
        <f>F171</f>
        <v>164000</v>
      </c>
      <c r="G167" s="101">
        <v>0</v>
      </c>
      <c r="H167" s="8">
        <f aca="true" t="shared" si="50" ref="H167:H177">F167+G167</f>
        <v>164000</v>
      </c>
      <c r="I167" s="8">
        <f aca="true" t="shared" si="51" ref="I167:K176">C167+F167</f>
        <v>379000</v>
      </c>
      <c r="J167" s="8">
        <f t="shared" si="51"/>
        <v>34000</v>
      </c>
      <c r="K167" s="8">
        <f t="shared" si="51"/>
        <v>413000</v>
      </c>
    </row>
    <row r="168" spans="1:11" s="86" customFormat="1" ht="15" customHeight="1">
      <c r="A168" s="85">
        <v>92105</v>
      </c>
      <c r="B168" s="86" t="s">
        <v>150</v>
      </c>
      <c r="C168" s="87">
        <v>238400</v>
      </c>
      <c r="D168" s="87">
        <v>0</v>
      </c>
      <c r="E168" s="21">
        <f>SUM(C168:D168)</f>
        <v>238400</v>
      </c>
      <c r="F168" s="88">
        <f>SUM(F169:F169)</f>
        <v>-18300</v>
      </c>
      <c r="G168" s="88">
        <f>SUM(G169:G169)</f>
        <v>0</v>
      </c>
      <c r="H168" s="21">
        <f t="shared" si="50"/>
        <v>-18300</v>
      </c>
      <c r="I168" s="21">
        <f aca="true" t="shared" si="52" ref="I168:K171">C168+F168</f>
        <v>220100</v>
      </c>
      <c r="J168" s="21">
        <f t="shared" si="52"/>
        <v>0</v>
      </c>
      <c r="K168" s="21">
        <f t="shared" si="52"/>
        <v>220100</v>
      </c>
    </row>
    <row r="169" spans="1:11" s="90" customFormat="1" ht="15" customHeight="1">
      <c r="A169" s="89" t="s">
        <v>122</v>
      </c>
      <c r="B169" s="90" t="s">
        <v>151</v>
      </c>
      <c r="C169" s="66">
        <v>238400</v>
      </c>
      <c r="D169" s="66">
        <v>0</v>
      </c>
      <c r="E169" s="26">
        <f>SUM(C169:D169)</f>
        <v>238400</v>
      </c>
      <c r="F169" s="91">
        <v>-18300</v>
      </c>
      <c r="G169" s="91">
        <v>0</v>
      </c>
      <c r="H169" s="26">
        <f t="shared" si="50"/>
        <v>-18300</v>
      </c>
      <c r="I169" s="26">
        <f t="shared" si="52"/>
        <v>220100</v>
      </c>
      <c r="J169" s="26">
        <f t="shared" si="52"/>
        <v>0</v>
      </c>
      <c r="K169" s="26">
        <f t="shared" si="52"/>
        <v>220100</v>
      </c>
    </row>
    <row r="170" spans="1:11" s="86" customFormat="1" ht="15" customHeight="1">
      <c r="A170" s="106">
        <v>92114</v>
      </c>
      <c r="B170" s="107" t="s">
        <v>164</v>
      </c>
      <c r="C170" s="108">
        <v>50000</v>
      </c>
      <c r="D170" s="108">
        <v>0</v>
      </c>
      <c r="E170" s="109">
        <f>SUM(C170:D170)</f>
        <v>50000</v>
      </c>
      <c r="F170" s="110">
        <f>SUM(F171:F171)</f>
        <v>164000</v>
      </c>
      <c r="G170" s="110">
        <f>SUM(G171:G171)</f>
        <v>0</v>
      </c>
      <c r="H170" s="109">
        <f>F170+G170</f>
        <v>164000</v>
      </c>
      <c r="I170" s="109">
        <f t="shared" si="52"/>
        <v>214000</v>
      </c>
      <c r="J170" s="109">
        <f t="shared" si="52"/>
        <v>0</v>
      </c>
      <c r="K170" s="109">
        <f t="shared" si="52"/>
        <v>214000</v>
      </c>
    </row>
    <row r="171" spans="1:11" s="90" customFormat="1" ht="15" customHeight="1">
      <c r="A171" s="111" t="s">
        <v>42</v>
      </c>
      <c r="B171" s="112" t="s">
        <v>43</v>
      </c>
      <c r="C171" s="113">
        <v>0</v>
      </c>
      <c r="D171" s="113">
        <v>0</v>
      </c>
      <c r="E171" s="114">
        <f>SUM(C171:D171)</f>
        <v>0</v>
      </c>
      <c r="F171" s="84">
        <v>164000</v>
      </c>
      <c r="G171" s="84">
        <v>0</v>
      </c>
      <c r="H171" s="114">
        <f>F171+G171</f>
        <v>164000</v>
      </c>
      <c r="I171" s="114">
        <f t="shared" si="52"/>
        <v>164000</v>
      </c>
      <c r="J171" s="114">
        <f t="shared" si="52"/>
        <v>0</v>
      </c>
      <c r="K171" s="114">
        <f t="shared" si="52"/>
        <v>164000</v>
      </c>
    </row>
    <row r="172" spans="1:11" s="86" customFormat="1" ht="15" customHeight="1">
      <c r="A172" s="106">
        <v>92195</v>
      </c>
      <c r="B172" s="107" t="s">
        <v>37</v>
      </c>
      <c r="C172" s="108">
        <v>816792</v>
      </c>
      <c r="D172" s="108">
        <v>5000</v>
      </c>
      <c r="E172" s="109">
        <f t="shared" si="49"/>
        <v>821792</v>
      </c>
      <c r="F172" s="110">
        <f>SUM(F173:F176)</f>
        <v>38700</v>
      </c>
      <c r="G172" s="110">
        <f>SUM(G176:G176)</f>
        <v>0</v>
      </c>
      <c r="H172" s="109">
        <f t="shared" si="50"/>
        <v>38700</v>
      </c>
      <c r="I172" s="109">
        <f t="shared" si="51"/>
        <v>855492</v>
      </c>
      <c r="J172" s="109">
        <f t="shared" si="51"/>
        <v>5000</v>
      </c>
      <c r="K172" s="109">
        <f t="shared" si="51"/>
        <v>860492</v>
      </c>
    </row>
    <row r="173" spans="1:11" s="90" customFormat="1" ht="15" customHeight="1">
      <c r="A173" s="111" t="s">
        <v>140</v>
      </c>
      <c r="B173" s="112" t="s">
        <v>141</v>
      </c>
      <c r="C173" s="113">
        <v>5000</v>
      </c>
      <c r="D173" s="113">
        <v>0</v>
      </c>
      <c r="E173" s="114">
        <f t="shared" si="49"/>
        <v>5000</v>
      </c>
      <c r="F173" s="84">
        <f>2500-3670</f>
        <v>-1170</v>
      </c>
      <c r="G173" s="84">
        <v>0</v>
      </c>
      <c r="H173" s="114">
        <f t="shared" si="50"/>
        <v>-1170</v>
      </c>
      <c r="I173" s="114">
        <f t="shared" si="51"/>
        <v>3830</v>
      </c>
      <c r="J173" s="114">
        <f t="shared" si="51"/>
        <v>0</v>
      </c>
      <c r="K173" s="114">
        <f t="shared" si="51"/>
        <v>3830</v>
      </c>
    </row>
    <row r="174" spans="1:11" s="59" customFormat="1" ht="15" customHeight="1">
      <c r="A174" s="127" t="s">
        <v>21</v>
      </c>
      <c r="B174" s="128" t="s">
        <v>22</v>
      </c>
      <c r="C174" s="129">
        <v>26021</v>
      </c>
      <c r="D174" s="129">
        <v>0</v>
      </c>
      <c r="E174" s="114">
        <f t="shared" si="49"/>
        <v>26021</v>
      </c>
      <c r="F174" s="129">
        <f>-500+3670</f>
        <v>3170</v>
      </c>
      <c r="G174" s="129">
        <v>0</v>
      </c>
      <c r="H174" s="114">
        <f t="shared" si="50"/>
        <v>3170</v>
      </c>
      <c r="I174" s="114">
        <f t="shared" si="51"/>
        <v>29191</v>
      </c>
      <c r="J174" s="114">
        <f t="shared" si="51"/>
        <v>0</v>
      </c>
      <c r="K174" s="114">
        <f t="shared" si="51"/>
        <v>29191</v>
      </c>
    </row>
    <row r="175" spans="1:11" s="59" customFormat="1" ht="15" customHeight="1">
      <c r="A175" s="54" t="s">
        <v>23</v>
      </c>
      <c r="B175" s="55" t="s">
        <v>24</v>
      </c>
      <c r="C175" s="58">
        <v>0</v>
      </c>
      <c r="D175" s="58">
        <v>0</v>
      </c>
      <c r="E175" s="57">
        <f t="shared" si="49"/>
        <v>0</v>
      </c>
      <c r="F175" s="58">
        <v>1000</v>
      </c>
      <c r="G175" s="58">
        <v>0</v>
      </c>
      <c r="H175" s="57">
        <f t="shared" si="50"/>
        <v>1000</v>
      </c>
      <c r="I175" s="57">
        <f t="shared" si="51"/>
        <v>1000</v>
      </c>
      <c r="J175" s="57">
        <f t="shared" si="51"/>
        <v>0</v>
      </c>
      <c r="K175" s="57">
        <f t="shared" si="51"/>
        <v>1000</v>
      </c>
    </row>
    <row r="176" spans="1:11" s="90" customFormat="1" ht="15" customHeight="1">
      <c r="A176" s="111" t="s">
        <v>16</v>
      </c>
      <c r="B176" s="112" t="s">
        <v>17</v>
      </c>
      <c r="C176" s="113">
        <v>552980</v>
      </c>
      <c r="D176" s="113">
        <v>0</v>
      </c>
      <c r="E176" s="114">
        <f t="shared" si="49"/>
        <v>552980</v>
      </c>
      <c r="F176" s="84">
        <f>400+1000+7000+27300</f>
        <v>35700</v>
      </c>
      <c r="G176" s="84">
        <v>0</v>
      </c>
      <c r="H176" s="114">
        <f t="shared" si="50"/>
        <v>35700</v>
      </c>
      <c r="I176" s="114">
        <f t="shared" si="51"/>
        <v>588680</v>
      </c>
      <c r="J176" s="114">
        <f t="shared" si="51"/>
        <v>0</v>
      </c>
      <c r="K176" s="114">
        <f t="shared" si="51"/>
        <v>588680</v>
      </c>
    </row>
    <row r="177" spans="1:11" s="36" customFormat="1" ht="15" customHeight="1">
      <c r="A177" s="9" t="s">
        <v>74</v>
      </c>
      <c r="B177" s="10" t="s">
        <v>75</v>
      </c>
      <c r="C177" s="11">
        <v>7666250</v>
      </c>
      <c r="D177" s="11">
        <v>100000</v>
      </c>
      <c r="E177" s="4">
        <f t="shared" si="49"/>
        <v>7766250</v>
      </c>
      <c r="F177" s="11">
        <f>F181</f>
        <v>-13150</v>
      </c>
      <c r="G177" s="11">
        <v>0</v>
      </c>
      <c r="H177" s="4">
        <f t="shared" si="50"/>
        <v>-13150</v>
      </c>
      <c r="I177" s="4">
        <f>C177+F177</f>
        <v>7653100</v>
      </c>
      <c r="J177" s="4">
        <f>D177+G177</f>
        <v>100000</v>
      </c>
      <c r="K177" s="4">
        <f>E177+H177</f>
        <v>7753100</v>
      </c>
    </row>
    <row r="178" spans="1:11" s="40" customFormat="1" ht="15" customHeight="1">
      <c r="A178" s="12"/>
      <c r="B178" s="13" t="s">
        <v>10</v>
      </c>
      <c r="C178" s="14"/>
      <c r="D178" s="14"/>
      <c r="E178" s="6"/>
      <c r="F178" s="14"/>
      <c r="G178" s="14"/>
      <c r="H178" s="6"/>
      <c r="I178" s="6"/>
      <c r="J178" s="6"/>
      <c r="K178" s="6"/>
    </row>
    <row r="179" spans="1:11" s="41" customFormat="1" ht="15" customHeight="1">
      <c r="A179" s="15"/>
      <c r="B179" s="7" t="s">
        <v>76</v>
      </c>
      <c r="C179" s="17">
        <v>1089610</v>
      </c>
      <c r="D179" s="17">
        <v>0</v>
      </c>
      <c r="E179" s="8">
        <f aca="true" t="shared" si="53" ref="E179:E185">SUM(C179:D179)</f>
        <v>1089610</v>
      </c>
      <c r="F179" s="17">
        <v>0</v>
      </c>
      <c r="G179" s="17">
        <v>0</v>
      </c>
      <c r="H179" s="8">
        <f aca="true" t="shared" si="54" ref="H179:H185">F179+G179</f>
        <v>0</v>
      </c>
      <c r="I179" s="8">
        <f aca="true" t="shared" si="55" ref="I179:K182">C179+F179</f>
        <v>1089610</v>
      </c>
      <c r="J179" s="8">
        <f t="shared" si="55"/>
        <v>0</v>
      </c>
      <c r="K179" s="8">
        <f t="shared" si="55"/>
        <v>1089610</v>
      </c>
    </row>
    <row r="180" spans="1:11" s="36" customFormat="1" ht="36.75" customHeight="1">
      <c r="A180" s="170"/>
      <c r="B180" s="171"/>
      <c r="C180" s="172"/>
      <c r="D180" s="172"/>
      <c r="E180" s="173"/>
      <c r="F180" s="172"/>
      <c r="G180" s="172"/>
      <c r="H180" s="173"/>
      <c r="I180" s="173"/>
      <c r="J180" s="173"/>
      <c r="K180" s="173"/>
    </row>
    <row r="181" spans="1:11" s="35" customFormat="1" ht="15" customHeight="1">
      <c r="A181" s="127">
        <v>92695</v>
      </c>
      <c r="B181" s="128" t="s">
        <v>37</v>
      </c>
      <c r="C181" s="81">
        <v>849550</v>
      </c>
      <c r="D181" s="81">
        <v>100000</v>
      </c>
      <c r="E181" s="114">
        <f t="shared" si="53"/>
        <v>949550</v>
      </c>
      <c r="F181" s="129">
        <f>SUM(F184:F185)</f>
        <v>-13150</v>
      </c>
      <c r="G181" s="129">
        <f>SUM(G184:G184)</f>
        <v>0</v>
      </c>
      <c r="H181" s="114">
        <f t="shared" si="54"/>
        <v>-13150</v>
      </c>
      <c r="I181" s="114">
        <f t="shared" si="55"/>
        <v>836400</v>
      </c>
      <c r="J181" s="114">
        <f t="shared" si="55"/>
        <v>100000</v>
      </c>
      <c r="K181" s="114">
        <f t="shared" si="55"/>
        <v>936400</v>
      </c>
    </row>
    <row r="182" spans="1:11" s="24" customFormat="1" ht="15" customHeight="1">
      <c r="A182" s="23" t="s">
        <v>20</v>
      </c>
      <c r="B182" s="24" t="s">
        <v>143</v>
      </c>
      <c r="C182" s="25">
        <v>0</v>
      </c>
      <c r="D182" s="25">
        <v>58160</v>
      </c>
      <c r="E182" s="26">
        <f t="shared" si="53"/>
        <v>58160</v>
      </c>
      <c r="F182" s="25">
        <v>0</v>
      </c>
      <c r="G182" s="25">
        <v>-58160</v>
      </c>
      <c r="H182" s="26">
        <f t="shared" si="54"/>
        <v>-58160</v>
      </c>
      <c r="I182" s="26">
        <f t="shared" si="55"/>
        <v>0</v>
      </c>
      <c r="J182" s="26">
        <f t="shared" si="55"/>
        <v>0</v>
      </c>
      <c r="K182" s="26">
        <f t="shared" si="55"/>
        <v>0</v>
      </c>
    </row>
    <row r="183" spans="1:11" s="55" customFormat="1" ht="15" customHeight="1">
      <c r="A183" s="127" t="s">
        <v>56</v>
      </c>
      <c r="B183" s="128" t="s">
        <v>66</v>
      </c>
      <c r="C183" s="81">
        <v>10000</v>
      </c>
      <c r="D183" s="81">
        <v>11000</v>
      </c>
      <c r="E183" s="114">
        <f t="shared" si="53"/>
        <v>21000</v>
      </c>
      <c r="F183" s="129">
        <v>0</v>
      </c>
      <c r="G183" s="129">
        <f>58160</f>
        <v>58160</v>
      </c>
      <c r="H183" s="114">
        <f t="shared" si="54"/>
        <v>58160</v>
      </c>
      <c r="I183" s="114">
        <f aca="true" t="shared" si="56" ref="I183:K185">C183+F183</f>
        <v>10000</v>
      </c>
      <c r="J183" s="114">
        <f t="shared" si="56"/>
        <v>69160</v>
      </c>
      <c r="K183" s="114">
        <f t="shared" si="56"/>
        <v>79160</v>
      </c>
    </row>
    <row r="184" spans="1:11" s="59" customFormat="1" ht="15" customHeight="1">
      <c r="A184" s="127" t="s">
        <v>21</v>
      </c>
      <c r="B184" s="128" t="s">
        <v>22</v>
      </c>
      <c r="C184" s="129">
        <v>28350</v>
      </c>
      <c r="D184" s="129">
        <v>10700</v>
      </c>
      <c r="E184" s="114">
        <f t="shared" si="53"/>
        <v>39050</v>
      </c>
      <c r="F184" s="129">
        <f>-150-3000</f>
        <v>-3150</v>
      </c>
      <c r="G184" s="129">
        <v>0</v>
      </c>
      <c r="H184" s="114">
        <f t="shared" si="54"/>
        <v>-3150</v>
      </c>
      <c r="I184" s="114">
        <f t="shared" si="56"/>
        <v>25200</v>
      </c>
      <c r="J184" s="114">
        <f t="shared" si="56"/>
        <v>10700</v>
      </c>
      <c r="K184" s="114">
        <f t="shared" si="56"/>
        <v>35900</v>
      </c>
    </row>
    <row r="185" spans="1:11" s="90" customFormat="1" ht="15" customHeight="1">
      <c r="A185" s="111" t="s">
        <v>16</v>
      </c>
      <c r="B185" s="112" t="s">
        <v>17</v>
      </c>
      <c r="C185" s="113">
        <v>231200</v>
      </c>
      <c r="D185" s="113">
        <v>3200</v>
      </c>
      <c r="E185" s="114">
        <f t="shared" si="53"/>
        <v>234400</v>
      </c>
      <c r="F185" s="84">
        <v>-10000</v>
      </c>
      <c r="G185" s="84">
        <v>0</v>
      </c>
      <c r="H185" s="114">
        <f t="shared" si="54"/>
        <v>-10000</v>
      </c>
      <c r="I185" s="114">
        <f t="shared" si="56"/>
        <v>221200</v>
      </c>
      <c r="J185" s="114">
        <f t="shared" si="56"/>
        <v>3200</v>
      </c>
      <c r="K185" s="114">
        <f t="shared" si="56"/>
        <v>224400</v>
      </c>
    </row>
    <row r="186" spans="1:11" s="31" customFormat="1" ht="30.75" customHeight="1">
      <c r="A186" s="185" t="s">
        <v>18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7"/>
    </row>
    <row r="187" spans="1:11" s="19" customFormat="1" ht="15" customHeight="1">
      <c r="A187" s="9" t="s">
        <v>19</v>
      </c>
      <c r="B187" s="10" t="s">
        <v>14</v>
      </c>
      <c r="C187" s="11">
        <v>62785070</v>
      </c>
      <c r="D187" s="11">
        <v>13535021</v>
      </c>
      <c r="E187" s="4">
        <f>SUM(C187:D187)</f>
        <v>76320091</v>
      </c>
      <c r="F187" s="11">
        <f>F197+F209+F245+F269+F277+F190+F302</f>
        <v>105724</v>
      </c>
      <c r="G187" s="11">
        <f>G197+G209+G245+G269+G277+G190</f>
        <v>-80720</v>
      </c>
      <c r="H187" s="4">
        <f>F187+G187</f>
        <v>25004</v>
      </c>
      <c r="I187" s="4">
        <f>C187+F187</f>
        <v>62890794</v>
      </c>
      <c r="J187" s="4">
        <f>D187+G187</f>
        <v>13454301</v>
      </c>
      <c r="K187" s="4">
        <f>E187+H187</f>
        <v>76345095</v>
      </c>
    </row>
    <row r="188" spans="1:11" s="24" customFormat="1" ht="15" customHeight="1">
      <c r="A188" s="12"/>
      <c r="B188" s="13" t="s">
        <v>15</v>
      </c>
      <c r="C188" s="14"/>
      <c r="D188" s="14"/>
      <c r="E188" s="14"/>
      <c r="F188" s="14"/>
      <c r="G188" s="14"/>
      <c r="H188" s="6"/>
      <c r="I188" s="6"/>
      <c r="J188" s="6"/>
      <c r="K188" s="6"/>
    </row>
    <row r="189" spans="1:11" s="28" customFormat="1" ht="15" customHeight="1">
      <c r="A189" s="15"/>
      <c r="B189" s="7" t="s">
        <v>76</v>
      </c>
      <c r="C189" s="17">
        <v>9183857</v>
      </c>
      <c r="D189" s="17">
        <v>4238556</v>
      </c>
      <c r="E189" s="8">
        <f>SUM(C189:D189)</f>
        <v>13422413</v>
      </c>
      <c r="F189" s="17">
        <f>F199+F211+F247+F271+F279+F192</f>
        <v>166477</v>
      </c>
      <c r="G189" s="17">
        <f>G199+G211+G247+G271+G279+G192</f>
        <v>-80720</v>
      </c>
      <c r="H189" s="8">
        <f>F189+G189</f>
        <v>85757</v>
      </c>
      <c r="I189" s="8">
        <f aca="true" t="shared" si="57" ref="I189:K190">C189+F189</f>
        <v>9350334</v>
      </c>
      <c r="J189" s="8">
        <f t="shared" si="57"/>
        <v>4157836</v>
      </c>
      <c r="K189" s="8">
        <f t="shared" si="57"/>
        <v>13508170</v>
      </c>
    </row>
    <row r="190" spans="1:11" s="19" customFormat="1" ht="15" customHeight="1">
      <c r="A190" s="136" t="s">
        <v>104</v>
      </c>
      <c r="B190" s="137" t="s">
        <v>105</v>
      </c>
      <c r="C190" s="138">
        <v>11682717</v>
      </c>
      <c r="D190" s="138">
        <v>4126556</v>
      </c>
      <c r="E190" s="118">
        <f>SUM(C190:D190)</f>
        <v>15809273</v>
      </c>
      <c r="F190" s="138">
        <f>F193</f>
        <v>136477</v>
      </c>
      <c r="G190" s="138">
        <f>G193</f>
        <v>-80720</v>
      </c>
      <c r="H190" s="118">
        <f>F190+G190</f>
        <v>55757</v>
      </c>
      <c r="I190" s="118">
        <f t="shared" si="57"/>
        <v>11819194</v>
      </c>
      <c r="J190" s="118">
        <f t="shared" si="57"/>
        <v>4045836</v>
      </c>
      <c r="K190" s="118">
        <f t="shared" si="57"/>
        <v>15865030</v>
      </c>
    </row>
    <row r="191" spans="1:11" s="24" customFormat="1" ht="15" customHeight="1">
      <c r="A191" s="139"/>
      <c r="B191" s="140" t="s">
        <v>10</v>
      </c>
      <c r="C191" s="141"/>
      <c r="D191" s="141"/>
      <c r="E191" s="122"/>
      <c r="F191" s="141"/>
      <c r="G191" s="141"/>
      <c r="H191" s="122"/>
      <c r="I191" s="122"/>
      <c r="J191" s="122"/>
      <c r="K191" s="122"/>
    </row>
    <row r="192" spans="1:11" s="28" customFormat="1" ht="15" customHeight="1">
      <c r="A192" s="142"/>
      <c r="B192" s="124" t="s">
        <v>76</v>
      </c>
      <c r="C192" s="143">
        <v>6502709</v>
      </c>
      <c r="D192" s="143">
        <v>4126556</v>
      </c>
      <c r="E192" s="126">
        <f aca="true" t="shared" si="58" ref="E192:E197">SUM(C192:D192)</f>
        <v>10629265</v>
      </c>
      <c r="F192" s="143">
        <f>SUM(F194:F194)+F196</f>
        <v>136477</v>
      </c>
      <c r="G192" s="143">
        <f>G195</f>
        <v>-80720</v>
      </c>
      <c r="H192" s="126">
        <f aca="true" t="shared" si="59" ref="H192:H197">F192+G192</f>
        <v>55757</v>
      </c>
      <c r="I192" s="126">
        <f aca="true" t="shared" si="60" ref="I192:K196">C192+F192</f>
        <v>6639186</v>
      </c>
      <c r="J192" s="126">
        <f t="shared" si="60"/>
        <v>4045836</v>
      </c>
      <c r="K192" s="126">
        <f t="shared" si="60"/>
        <v>10685022</v>
      </c>
    </row>
    <row r="193" spans="1:11" s="33" customFormat="1" ht="15" customHeight="1">
      <c r="A193" s="130">
        <v>60015</v>
      </c>
      <c r="B193" s="131" t="s">
        <v>146</v>
      </c>
      <c r="C193" s="132">
        <v>11681717</v>
      </c>
      <c r="D193" s="132">
        <v>4126556</v>
      </c>
      <c r="E193" s="109">
        <f t="shared" si="58"/>
        <v>15808273</v>
      </c>
      <c r="F193" s="133">
        <f>SUM(F194:F196)</f>
        <v>136477</v>
      </c>
      <c r="G193" s="133">
        <f>SUM(G194:G196)</f>
        <v>-80720</v>
      </c>
      <c r="H193" s="109">
        <f t="shared" si="59"/>
        <v>55757</v>
      </c>
      <c r="I193" s="109">
        <f t="shared" si="60"/>
        <v>11818194</v>
      </c>
      <c r="J193" s="109">
        <f t="shared" si="60"/>
        <v>4045836</v>
      </c>
      <c r="K193" s="109">
        <f t="shared" si="60"/>
        <v>15864030</v>
      </c>
    </row>
    <row r="194" spans="1:11" s="42" customFormat="1" ht="15" customHeight="1">
      <c r="A194" s="127" t="s">
        <v>42</v>
      </c>
      <c r="B194" s="128" t="s">
        <v>43</v>
      </c>
      <c r="C194" s="81">
        <v>3500291</v>
      </c>
      <c r="D194" s="81">
        <v>0</v>
      </c>
      <c r="E194" s="114">
        <f t="shared" si="58"/>
        <v>3500291</v>
      </c>
      <c r="F194" s="129">
        <f>277799+20000+965000</f>
        <v>1262799</v>
      </c>
      <c r="G194" s="129">
        <v>0</v>
      </c>
      <c r="H194" s="114">
        <f t="shared" si="59"/>
        <v>1262799</v>
      </c>
      <c r="I194" s="114">
        <f t="shared" si="60"/>
        <v>4763090</v>
      </c>
      <c r="J194" s="114">
        <f t="shared" si="60"/>
        <v>0</v>
      </c>
      <c r="K194" s="114">
        <f t="shared" si="60"/>
        <v>4763090</v>
      </c>
    </row>
    <row r="195" spans="1:11" s="35" customFormat="1" ht="15" customHeight="1">
      <c r="A195" s="34" t="s">
        <v>147</v>
      </c>
      <c r="B195" s="35" t="s">
        <v>165</v>
      </c>
      <c r="C195" s="25">
        <v>0</v>
      </c>
      <c r="D195" s="25">
        <v>4126556</v>
      </c>
      <c r="E195" s="26">
        <f t="shared" si="58"/>
        <v>4126556</v>
      </c>
      <c r="F195" s="27">
        <v>0</v>
      </c>
      <c r="G195" s="27">
        <v>-80720</v>
      </c>
      <c r="H195" s="26">
        <f t="shared" si="59"/>
        <v>-80720</v>
      </c>
      <c r="I195" s="26">
        <f t="shared" si="60"/>
        <v>0</v>
      </c>
      <c r="J195" s="26">
        <f t="shared" si="60"/>
        <v>4045836</v>
      </c>
      <c r="K195" s="26">
        <f t="shared" si="60"/>
        <v>4045836</v>
      </c>
    </row>
    <row r="196" spans="1:11" s="35" customFormat="1" ht="15" customHeight="1">
      <c r="A196" s="34" t="s">
        <v>148</v>
      </c>
      <c r="B196" s="35" t="s">
        <v>166</v>
      </c>
      <c r="C196" s="25">
        <v>2899709</v>
      </c>
      <c r="D196" s="25">
        <v>0</v>
      </c>
      <c r="E196" s="26">
        <f t="shared" si="58"/>
        <v>2899709</v>
      </c>
      <c r="F196" s="27">
        <f>-161322-965000</f>
        <v>-1126322</v>
      </c>
      <c r="G196" s="27">
        <v>0</v>
      </c>
      <c r="H196" s="26">
        <f t="shared" si="59"/>
        <v>-1126322</v>
      </c>
      <c r="I196" s="26">
        <f t="shared" si="60"/>
        <v>1773387</v>
      </c>
      <c r="J196" s="26">
        <f t="shared" si="60"/>
        <v>0</v>
      </c>
      <c r="K196" s="26">
        <f t="shared" si="60"/>
        <v>1773387</v>
      </c>
    </row>
    <row r="197" spans="1:11" s="19" customFormat="1" ht="15" customHeight="1">
      <c r="A197" s="9" t="s">
        <v>40</v>
      </c>
      <c r="B197" s="10" t="s">
        <v>41</v>
      </c>
      <c r="C197" s="11">
        <v>242000</v>
      </c>
      <c r="D197" s="11">
        <v>4946200</v>
      </c>
      <c r="E197" s="4">
        <f t="shared" si="58"/>
        <v>5188200</v>
      </c>
      <c r="F197" s="11">
        <f>F200</f>
        <v>0</v>
      </c>
      <c r="G197" s="11">
        <f>G200</f>
        <v>0</v>
      </c>
      <c r="H197" s="4">
        <f t="shared" si="59"/>
        <v>0</v>
      </c>
      <c r="I197" s="4">
        <f>C197+F197</f>
        <v>242000</v>
      </c>
      <c r="J197" s="4">
        <f>D197+G197</f>
        <v>4946200</v>
      </c>
      <c r="K197" s="4">
        <f>E197+H197</f>
        <v>5188200</v>
      </c>
    </row>
    <row r="198" spans="1:11" s="24" customFormat="1" ht="15" customHeight="1">
      <c r="A198" s="12"/>
      <c r="B198" s="13" t="s">
        <v>10</v>
      </c>
      <c r="C198" s="14"/>
      <c r="D198" s="14"/>
      <c r="E198" s="6"/>
      <c r="F198" s="14"/>
      <c r="G198" s="14"/>
      <c r="H198" s="6"/>
      <c r="I198" s="6"/>
      <c r="J198" s="6"/>
      <c r="K198" s="6"/>
    </row>
    <row r="199" spans="1:11" s="28" customFormat="1" ht="15" customHeight="1">
      <c r="A199" s="15"/>
      <c r="B199" s="7" t="s">
        <v>76</v>
      </c>
      <c r="C199" s="17">
        <v>100000</v>
      </c>
      <c r="D199" s="17">
        <v>26000</v>
      </c>
      <c r="E199" s="8">
        <f aca="true" t="shared" si="61" ref="E199:E209">SUM(C199:D199)</f>
        <v>126000</v>
      </c>
      <c r="F199" s="17">
        <v>0</v>
      </c>
      <c r="G199" s="17">
        <v>0</v>
      </c>
      <c r="H199" s="8">
        <f>F199+G199</f>
        <v>0</v>
      </c>
      <c r="I199" s="8">
        <f aca="true" t="shared" si="62" ref="I199:K207">C199+F199</f>
        <v>100000</v>
      </c>
      <c r="J199" s="8">
        <f t="shared" si="62"/>
        <v>26000</v>
      </c>
      <c r="K199" s="8">
        <f t="shared" si="62"/>
        <v>126000</v>
      </c>
    </row>
    <row r="200" spans="1:11" s="86" customFormat="1" ht="15" customHeight="1">
      <c r="A200" s="85">
        <v>75411</v>
      </c>
      <c r="B200" s="86" t="s">
        <v>79</v>
      </c>
      <c r="C200" s="87">
        <v>110000</v>
      </c>
      <c r="D200" s="87">
        <v>4946200</v>
      </c>
      <c r="E200" s="21">
        <f t="shared" si="61"/>
        <v>5056200</v>
      </c>
      <c r="F200" s="88">
        <v>0</v>
      </c>
      <c r="G200" s="88">
        <f>SUM(G201:G207)</f>
        <v>0</v>
      </c>
      <c r="H200" s="21">
        <f>F200+G200</f>
        <v>0</v>
      </c>
      <c r="I200" s="21">
        <f t="shared" si="62"/>
        <v>110000</v>
      </c>
      <c r="J200" s="21">
        <f t="shared" si="62"/>
        <v>4946200</v>
      </c>
      <c r="K200" s="21">
        <f t="shared" si="62"/>
        <v>5056200</v>
      </c>
    </row>
    <row r="201" spans="1:11" s="55" customFormat="1" ht="15" customHeight="1">
      <c r="A201" s="54" t="s">
        <v>80</v>
      </c>
      <c r="B201" s="55" t="s">
        <v>100</v>
      </c>
      <c r="C201" s="56">
        <v>0</v>
      </c>
      <c r="D201" s="56">
        <v>382000</v>
      </c>
      <c r="E201" s="57">
        <f t="shared" si="61"/>
        <v>382000</v>
      </c>
      <c r="F201" s="58">
        <v>0</v>
      </c>
      <c r="G201" s="58">
        <v>-10000</v>
      </c>
      <c r="H201" s="57">
        <f>F201+G201</f>
        <v>-10000</v>
      </c>
      <c r="I201" s="57">
        <f>C201+F201</f>
        <v>0</v>
      </c>
      <c r="J201" s="57">
        <f>D201+G201</f>
        <v>372000</v>
      </c>
      <c r="K201" s="57">
        <f>E201+H201</f>
        <v>372000</v>
      </c>
    </row>
    <row r="202" spans="1:11" s="35" customFormat="1" ht="15" customHeight="1">
      <c r="A202" s="34" t="s">
        <v>81</v>
      </c>
      <c r="B202" s="35" t="s">
        <v>101</v>
      </c>
      <c r="C202" s="25">
        <v>0</v>
      </c>
      <c r="D202" s="25">
        <v>182000</v>
      </c>
      <c r="E202" s="26">
        <f t="shared" si="61"/>
        <v>182000</v>
      </c>
      <c r="F202" s="27">
        <v>0</v>
      </c>
      <c r="G202" s="27">
        <v>41000</v>
      </c>
      <c r="H202" s="26">
        <f aca="true" t="shared" si="63" ref="H202:H207">F202+G202</f>
        <v>41000</v>
      </c>
      <c r="I202" s="26">
        <f t="shared" si="62"/>
        <v>0</v>
      </c>
      <c r="J202" s="26">
        <f t="shared" si="62"/>
        <v>223000</v>
      </c>
      <c r="K202" s="26">
        <f t="shared" si="62"/>
        <v>223000</v>
      </c>
    </row>
    <row r="203" spans="1:11" s="35" customFormat="1" ht="15" customHeight="1">
      <c r="A203" s="34" t="s">
        <v>82</v>
      </c>
      <c r="B203" s="35" t="s">
        <v>102</v>
      </c>
      <c r="C203" s="25">
        <v>0</v>
      </c>
      <c r="D203" s="25">
        <v>11000</v>
      </c>
      <c r="E203" s="26">
        <f t="shared" si="61"/>
        <v>11000</v>
      </c>
      <c r="F203" s="27">
        <v>0</v>
      </c>
      <c r="G203" s="27">
        <v>-11000</v>
      </c>
      <c r="H203" s="26">
        <f>F203+G203</f>
        <v>-11000</v>
      </c>
      <c r="I203" s="26">
        <f>C203+F203</f>
        <v>0</v>
      </c>
      <c r="J203" s="26">
        <f>D203+G203</f>
        <v>0</v>
      </c>
      <c r="K203" s="26">
        <f>E203+H203</f>
        <v>0</v>
      </c>
    </row>
    <row r="204" spans="1:11" s="35" customFormat="1" ht="15" customHeight="1">
      <c r="A204" s="34" t="s">
        <v>83</v>
      </c>
      <c r="B204" s="35" t="s">
        <v>103</v>
      </c>
      <c r="C204" s="25">
        <v>0</v>
      </c>
      <c r="D204" s="25">
        <v>241000</v>
      </c>
      <c r="E204" s="26">
        <f t="shared" si="61"/>
        <v>241000</v>
      </c>
      <c r="F204" s="27">
        <v>0</v>
      </c>
      <c r="G204" s="27">
        <v>-20000</v>
      </c>
      <c r="H204" s="26">
        <f t="shared" si="63"/>
        <v>-20000</v>
      </c>
      <c r="I204" s="26">
        <f t="shared" si="62"/>
        <v>0</v>
      </c>
      <c r="J204" s="26">
        <f t="shared" si="62"/>
        <v>221000</v>
      </c>
      <c r="K204" s="26">
        <f t="shared" si="62"/>
        <v>221000</v>
      </c>
    </row>
    <row r="205" spans="1:11" s="59" customFormat="1" ht="15" customHeight="1">
      <c r="A205" s="54" t="s">
        <v>21</v>
      </c>
      <c r="B205" s="55" t="s">
        <v>22</v>
      </c>
      <c r="C205" s="58">
        <v>281</v>
      </c>
      <c r="D205" s="58">
        <v>153694</v>
      </c>
      <c r="E205" s="57">
        <f t="shared" si="61"/>
        <v>153975</v>
      </c>
      <c r="F205" s="58">
        <v>690</v>
      </c>
      <c r="G205" s="58">
        <v>0</v>
      </c>
      <c r="H205" s="57">
        <f t="shared" si="63"/>
        <v>690</v>
      </c>
      <c r="I205" s="57">
        <f t="shared" si="62"/>
        <v>971</v>
      </c>
      <c r="J205" s="57">
        <f t="shared" si="62"/>
        <v>153694</v>
      </c>
      <c r="K205" s="57">
        <f t="shared" si="62"/>
        <v>154665</v>
      </c>
    </row>
    <row r="206" spans="1:11" s="35" customFormat="1" ht="15" customHeight="1">
      <c r="A206" s="34" t="s">
        <v>61</v>
      </c>
      <c r="B206" s="35" t="s">
        <v>62</v>
      </c>
      <c r="C206" s="25">
        <v>0</v>
      </c>
      <c r="D206" s="25">
        <v>22000</v>
      </c>
      <c r="E206" s="26">
        <f t="shared" si="61"/>
        <v>22000</v>
      </c>
      <c r="F206" s="27">
        <v>0</v>
      </c>
      <c r="G206" s="27">
        <v>2000</v>
      </c>
      <c r="H206" s="26">
        <f t="shared" si="63"/>
        <v>2000</v>
      </c>
      <c r="I206" s="26">
        <f t="shared" si="62"/>
        <v>0</v>
      </c>
      <c r="J206" s="26">
        <f t="shared" si="62"/>
        <v>24000</v>
      </c>
      <c r="K206" s="26">
        <f t="shared" si="62"/>
        <v>24000</v>
      </c>
    </row>
    <row r="207" spans="1:11" s="59" customFormat="1" ht="15" customHeight="1">
      <c r="A207" s="54" t="s">
        <v>126</v>
      </c>
      <c r="B207" s="55" t="s">
        <v>142</v>
      </c>
      <c r="C207" s="56">
        <v>690</v>
      </c>
      <c r="D207" s="56">
        <v>4000</v>
      </c>
      <c r="E207" s="57">
        <f t="shared" si="61"/>
        <v>4690</v>
      </c>
      <c r="F207" s="58">
        <v>-690</v>
      </c>
      <c r="G207" s="58">
        <v>-2000</v>
      </c>
      <c r="H207" s="57">
        <f t="shared" si="63"/>
        <v>-2690</v>
      </c>
      <c r="I207" s="57">
        <f t="shared" si="62"/>
        <v>0</v>
      </c>
      <c r="J207" s="57">
        <f t="shared" si="62"/>
        <v>2000</v>
      </c>
      <c r="K207" s="57">
        <f t="shared" si="62"/>
        <v>2000</v>
      </c>
    </row>
    <row r="208" spans="1:11" s="154" customFormat="1" ht="22.5" customHeight="1">
      <c r="A208" s="155"/>
      <c r="B208" s="156"/>
      <c r="C208" s="174"/>
      <c r="D208" s="174"/>
      <c r="E208" s="158"/>
      <c r="F208" s="157"/>
      <c r="G208" s="157"/>
      <c r="H208" s="158"/>
      <c r="I208" s="158"/>
      <c r="J208" s="158"/>
      <c r="K208" s="158"/>
    </row>
    <row r="209" spans="1:11" s="19" customFormat="1" ht="15" customHeight="1">
      <c r="A209" s="9" t="s">
        <v>28</v>
      </c>
      <c r="B209" s="10" t="s">
        <v>29</v>
      </c>
      <c r="C209" s="11">
        <v>31116298</v>
      </c>
      <c r="D209" s="11">
        <v>289364</v>
      </c>
      <c r="E209" s="4">
        <f t="shared" si="61"/>
        <v>31405662</v>
      </c>
      <c r="F209" s="11">
        <f>F212+F216+F225+F229+F239+F243</f>
        <v>91081</v>
      </c>
      <c r="G209" s="11">
        <v>0</v>
      </c>
      <c r="H209" s="4">
        <f>F209+G209</f>
        <v>91081</v>
      </c>
      <c r="I209" s="4">
        <f>C209+F209</f>
        <v>31207379</v>
      </c>
      <c r="J209" s="4">
        <f>D209+G209</f>
        <v>289364</v>
      </c>
      <c r="K209" s="4">
        <f>E209+H209</f>
        <v>31496743</v>
      </c>
    </row>
    <row r="210" spans="1:11" s="24" customFormat="1" ht="15" customHeight="1">
      <c r="A210" s="12"/>
      <c r="B210" s="13" t="s">
        <v>10</v>
      </c>
      <c r="C210" s="14"/>
      <c r="D210" s="14"/>
      <c r="E210" s="6"/>
      <c r="F210" s="14"/>
      <c r="G210" s="14"/>
      <c r="H210" s="6"/>
      <c r="I210" s="6"/>
      <c r="J210" s="6"/>
      <c r="K210" s="6"/>
    </row>
    <row r="211" spans="1:11" s="28" customFormat="1" ht="15" customHeight="1">
      <c r="A211" s="15"/>
      <c r="B211" s="7" t="s">
        <v>76</v>
      </c>
      <c r="C211" s="17">
        <v>20000</v>
      </c>
      <c r="D211" s="17">
        <v>0</v>
      </c>
      <c r="E211" s="8">
        <f aca="true" t="shared" si="64" ref="E211:E232">SUM(C211:D211)</f>
        <v>20000</v>
      </c>
      <c r="F211" s="17">
        <v>0</v>
      </c>
      <c r="G211" s="17">
        <v>0</v>
      </c>
      <c r="H211" s="8">
        <f aca="true" t="shared" si="65" ref="H211:H233">F211+G211</f>
        <v>0</v>
      </c>
      <c r="I211" s="8">
        <f>C211+F211</f>
        <v>20000</v>
      </c>
      <c r="J211" s="8">
        <f>D211+G211</f>
        <v>0</v>
      </c>
      <c r="K211" s="8">
        <f>E211+H211</f>
        <v>20000</v>
      </c>
    </row>
    <row r="212" spans="1:11" s="19" customFormat="1" ht="15" customHeight="1">
      <c r="A212" s="32">
        <v>80111</v>
      </c>
      <c r="B212" s="33" t="s">
        <v>135</v>
      </c>
      <c r="C212" s="22">
        <v>1391402</v>
      </c>
      <c r="D212" s="22">
        <v>0</v>
      </c>
      <c r="E212" s="21">
        <f>SUM(C212:D212)</f>
        <v>1391402</v>
      </c>
      <c r="F212" s="22">
        <f>SUM(F213:F215)</f>
        <v>69000</v>
      </c>
      <c r="G212" s="22">
        <f>SUM(G213:G215)</f>
        <v>0</v>
      </c>
      <c r="H212" s="21">
        <f>F212+G212</f>
        <v>69000</v>
      </c>
      <c r="I212" s="21">
        <f aca="true" t="shared" si="66" ref="I212:J215">C212+F212</f>
        <v>1460402</v>
      </c>
      <c r="J212" s="21">
        <f t="shared" si="66"/>
        <v>0</v>
      </c>
      <c r="K212" s="21">
        <f>SUM(E212+H212)</f>
        <v>1460402</v>
      </c>
    </row>
    <row r="213" spans="1:11" s="55" customFormat="1" ht="15" customHeight="1">
      <c r="A213" s="54" t="s">
        <v>20</v>
      </c>
      <c r="B213" s="55" t="s">
        <v>44</v>
      </c>
      <c r="C213" s="56">
        <v>1034600</v>
      </c>
      <c r="D213" s="56">
        <v>0</v>
      </c>
      <c r="E213" s="57">
        <f>SUM(C213:D213)</f>
        <v>1034600</v>
      </c>
      <c r="F213" s="58">
        <v>50000</v>
      </c>
      <c r="G213" s="58">
        <v>0</v>
      </c>
      <c r="H213" s="57">
        <f>F213+G213</f>
        <v>50000</v>
      </c>
      <c r="I213" s="57">
        <f t="shared" si="66"/>
        <v>1084600</v>
      </c>
      <c r="J213" s="57">
        <f t="shared" si="66"/>
        <v>0</v>
      </c>
      <c r="K213" s="57">
        <f>E213+H213</f>
        <v>1084600</v>
      </c>
    </row>
    <row r="214" spans="1:11" s="55" customFormat="1" ht="15" customHeight="1">
      <c r="A214" s="54" t="s">
        <v>53</v>
      </c>
      <c r="B214" s="55" t="s">
        <v>59</v>
      </c>
      <c r="C214" s="56">
        <v>178000</v>
      </c>
      <c r="D214" s="56">
        <v>0</v>
      </c>
      <c r="E214" s="57">
        <f>SUM(C214:D214)</f>
        <v>178000</v>
      </c>
      <c r="F214" s="58">
        <v>15000</v>
      </c>
      <c r="G214" s="58">
        <v>0</v>
      </c>
      <c r="H214" s="57">
        <f>F214+G214</f>
        <v>15000</v>
      </c>
      <c r="I214" s="57">
        <f t="shared" si="66"/>
        <v>193000</v>
      </c>
      <c r="J214" s="57">
        <f t="shared" si="66"/>
        <v>0</v>
      </c>
      <c r="K214" s="57">
        <f>E214+H214</f>
        <v>193000</v>
      </c>
    </row>
    <row r="215" spans="1:11" s="59" customFormat="1" ht="15" customHeight="1">
      <c r="A215" s="54" t="s">
        <v>54</v>
      </c>
      <c r="B215" s="55" t="s">
        <v>55</v>
      </c>
      <c r="C215" s="58">
        <v>23000</v>
      </c>
      <c r="D215" s="58">
        <v>0</v>
      </c>
      <c r="E215" s="57">
        <f>SUM(C215:D215)</f>
        <v>23000</v>
      </c>
      <c r="F215" s="58">
        <v>4000</v>
      </c>
      <c r="G215" s="58">
        <v>0</v>
      </c>
      <c r="H215" s="57">
        <f>F215+G215</f>
        <v>4000</v>
      </c>
      <c r="I215" s="57">
        <f t="shared" si="66"/>
        <v>27000</v>
      </c>
      <c r="J215" s="57">
        <f t="shared" si="66"/>
        <v>0</v>
      </c>
      <c r="K215" s="57">
        <f>E215+H215</f>
        <v>27000</v>
      </c>
    </row>
    <row r="216" spans="1:11" s="19" customFormat="1" ht="15" customHeight="1">
      <c r="A216" s="32">
        <v>80120</v>
      </c>
      <c r="B216" s="33" t="s">
        <v>35</v>
      </c>
      <c r="C216" s="22">
        <v>11700659</v>
      </c>
      <c r="D216" s="22">
        <v>0</v>
      </c>
      <c r="E216" s="21">
        <f t="shared" si="64"/>
        <v>11700659</v>
      </c>
      <c r="F216" s="22">
        <f>SUM(F217:F224)</f>
        <v>4081</v>
      </c>
      <c r="G216" s="22">
        <f>SUM(G217:G223)</f>
        <v>0</v>
      </c>
      <c r="H216" s="21">
        <f t="shared" si="65"/>
        <v>4081</v>
      </c>
      <c r="I216" s="21">
        <f aca="true" t="shared" si="67" ref="I216:K224">C216+F216</f>
        <v>11704740</v>
      </c>
      <c r="J216" s="21">
        <f t="shared" si="67"/>
        <v>0</v>
      </c>
      <c r="K216" s="21">
        <f>SUM(E216+H216)</f>
        <v>11704740</v>
      </c>
    </row>
    <row r="217" spans="1:11" s="55" customFormat="1" ht="15" customHeight="1">
      <c r="A217" s="54" t="s">
        <v>20</v>
      </c>
      <c r="B217" s="55" t="s">
        <v>44</v>
      </c>
      <c r="C217" s="56">
        <v>7183454</v>
      </c>
      <c r="D217" s="56">
        <v>0</v>
      </c>
      <c r="E217" s="57">
        <f t="shared" si="64"/>
        <v>7183454</v>
      </c>
      <c r="F217" s="58">
        <v>-6000</v>
      </c>
      <c r="G217" s="58">
        <v>0</v>
      </c>
      <c r="H217" s="57">
        <f t="shared" si="65"/>
        <v>-6000</v>
      </c>
      <c r="I217" s="57">
        <f t="shared" si="67"/>
        <v>7177454</v>
      </c>
      <c r="J217" s="57">
        <f t="shared" si="67"/>
        <v>0</v>
      </c>
      <c r="K217" s="57">
        <f>E217+H217</f>
        <v>7177454</v>
      </c>
    </row>
    <row r="218" spans="1:11" s="35" customFormat="1" ht="15" customHeight="1">
      <c r="A218" s="34" t="s">
        <v>56</v>
      </c>
      <c r="B218" s="35" t="s">
        <v>66</v>
      </c>
      <c r="C218" s="25">
        <v>0</v>
      </c>
      <c r="D218" s="25">
        <v>0</v>
      </c>
      <c r="E218" s="26">
        <f t="shared" si="64"/>
        <v>0</v>
      </c>
      <c r="F218" s="27">
        <v>6000</v>
      </c>
      <c r="G218" s="27">
        <v>0</v>
      </c>
      <c r="H218" s="26">
        <f t="shared" si="65"/>
        <v>6000</v>
      </c>
      <c r="I218" s="26">
        <f t="shared" si="67"/>
        <v>6000</v>
      </c>
      <c r="J218" s="26">
        <f t="shared" si="67"/>
        <v>0</v>
      </c>
      <c r="K218" s="26">
        <f>E218+H218</f>
        <v>6000</v>
      </c>
    </row>
    <row r="219" spans="1:11" s="24" customFormat="1" ht="15" customHeight="1">
      <c r="A219" s="34" t="s">
        <v>21</v>
      </c>
      <c r="B219" s="35" t="s">
        <v>22</v>
      </c>
      <c r="C219" s="27">
        <v>132789</v>
      </c>
      <c r="D219" s="27">
        <v>0</v>
      </c>
      <c r="E219" s="26">
        <f t="shared" si="64"/>
        <v>132789</v>
      </c>
      <c r="F219" s="27">
        <v>-1000</v>
      </c>
      <c r="G219" s="27">
        <v>0</v>
      </c>
      <c r="H219" s="26">
        <f t="shared" si="65"/>
        <v>-1000</v>
      </c>
      <c r="I219" s="26">
        <f t="shared" si="67"/>
        <v>131789</v>
      </c>
      <c r="J219" s="26">
        <f t="shared" si="67"/>
        <v>0</v>
      </c>
      <c r="K219" s="26">
        <f t="shared" si="67"/>
        <v>131789</v>
      </c>
    </row>
    <row r="220" spans="1:11" s="24" customFormat="1" ht="15" customHeight="1">
      <c r="A220" s="34" t="s">
        <v>45</v>
      </c>
      <c r="B220" s="35" t="s">
        <v>46</v>
      </c>
      <c r="C220" s="27">
        <v>38000</v>
      </c>
      <c r="D220" s="27">
        <v>0</v>
      </c>
      <c r="E220" s="26">
        <f t="shared" si="64"/>
        <v>38000</v>
      </c>
      <c r="F220" s="27">
        <v>-1000</v>
      </c>
      <c r="G220" s="27">
        <v>0</v>
      </c>
      <c r="H220" s="26">
        <f t="shared" si="65"/>
        <v>-1000</v>
      </c>
      <c r="I220" s="26">
        <f aca="true" t="shared" si="68" ref="I220:J222">C220+F220</f>
        <v>37000</v>
      </c>
      <c r="J220" s="26">
        <f t="shared" si="68"/>
        <v>0</v>
      </c>
      <c r="K220" s="26">
        <f t="shared" si="67"/>
        <v>37000</v>
      </c>
    </row>
    <row r="221" spans="1:11" s="55" customFormat="1" ht="15" customHeight="1">
      <c r="A221" s="54" t="s">
        <v>26</v>
      </c>
      <c r="B221" s="55" t="s">
        <v>27</v>
      </c>
      <c r="C221" s="56">
        <v>292930</v>
      </c>
      <c r="D221" s="56">
        <v>0</v>
      </c>
      <c r="E221" s="57">
        <f t="shared" si="64"/>
        <v>292930</v>
      </c>
      <c r="F221" s="58">
        <v>4000</v>
      </c>
      <c r="G221" s="58">
        <v>0</v>
      </c>
      <c r="H221" s="57">
        <f t="shared" si="65"/>
        <v>4000</v>
      </c>
      <c r="I221" s="57">
        <f t="shared" si="68"/>
        <v>296930</v>
      </c>
      <c r="J221" s="57">
        <f t="shared" si="68"/>
        <v>0</v>
      </c>
      <c r="K221" s="57">
        <f t="shared" si="67"/>
        <v>296930</v>
      </c>
    </row>
    <row r="222" spans="1:11" s="35" customFormat="1" ht="15" customHeight="1">
      <c r="A222" s="34" t="s">
        <v>16</v>
      </c>
      <c r="B222" s="35" t="s">
        <v>17</v>
      </c>
      <c r="C222" s="25">
        <v>95705</v>
      </c>
      <c r="D222" s="25">
        <v>0</v>
      </c>
      <c r="E222" s="26">
        <f>SUM(C222:D222)</f>
        <v>95705</v>
      </c>
      <c r="F222" s="27">
        <f>81+2000</f>
        <v>2081</v>
      </c>
      <c r="G222" s="27">
        <v>0</v>
      </c>
      <c r="H222" s="26">
        <f t="shared" si="65"/>
        <v>2081</v>
      </c>
      <c r="I222" s="26">
        <f t="shared" si="68"/>
        <v>97786</v>
      </c>
      <c r="J222" s="26">
        <f t="shared" si="68"/>
        <v>0</v>
      </c>
      <c r="K222" s="26">
        <f t="shared" si="67"/>
        <v>97786</v>
      </c>
    </row>
    <row r="223" spans="1:11" s="59" customFormat="1" ht="15" customHeight="1">
      <c r="A223" s="54" t="s">
        <v>90</v>
      </c>
      <c r="B223" s="55" t="s">
        <v>91</v>
      </c>
      <c r="C223" s="58">
        <v>11900</v>
      </c>
      <c r="D223" s="58">
        <v>0</v>
      </c>
      <c r="E223" s="57">
        <f t="shared" si="64"/>
        <v>11900</v>
      </c>
      <c r="F223" s="58">
        <v>100</v>
      </c>
      <c r="G223" s="58">
        <v>0</v>
      </c>
      <c r="H223" s="57">
        <f t="shared" si="65"/>
        <v>100</v>
      </c>
      <c r="I223" s="57">
        <f t="shared" si="67"/>
        <v>12000</v>
      </c>
      <c r="J223" s="57">
        <f t="shared" si="67"/>
        <v>0</v>
      </c>
      <c r="K223" s="57">
        <f t="shared" si="67"/>
        <v>12000</v>
      </c>
    </row>
    <row r="224" spans="1:11" s="38" customFormat="1" ht="15" customHeight="1">
      <c r="A224" s="37" t="s">
        <v>61</v>
      </c>
      <c r="B224" s="38" t="s">
        <v>62</v>
      </c>
      <c r="C224" s="29">
        <v>6000</v>
      </c>
      <c r="D224" s="29">
        <v>0</v>
      </c>
      <c r="E224" s="30">
        <f>SUM(C224:D224)</f>
        <v>6000</v>
      </c>
      <c r="F224" s="39">
        <v>-100</v>
      </c>
      <c r="G224" s="39">
        <v>0</v>
      </c>
      <c r="H224" s="30">
        <f t="shared" si="65"/>
        <v>-100</v>
      </c>
      <c r="I224" s="30">
        <f t="shared" si="67"/>
        <v>5900</v>
      </c>
      <c r="J224" s="30">
        <f t="shared" si="67"/>
        <v>0</v>
      </c>
      <c r="K224" s="30">
        <f t="shared" si="67"/>
        <v>5900</v>
      </c>
    </row>
    <row r="225" spans="1:11" s="19" customFormat="1" ht="15" customHeight="1">
      <c r="A225" s="32">
        <v>80123</v>
      </c>
      <c r="B225" s="33" t="s">
        <v>73</v>
      </c>
      <c r="C225" s="22">
        <v>1189627</v>
      </c>
      <c r="D225" s="22">
        <v>0</v>
      </c>
      <c r="E225" s="21">
        <f>SUM(C225:D225)</f>
        <v>1189627</v>
      </c>
      <c r="F225" s="22">
        <f>SUM(F226:F228)</f>
        <v>3000</v>
      </c>
      <c r="G225" s="22">
        <f>SUM(G226:G234)</f>
        <v>0</v>
      </c>
      <c r="H225" s="21">
        <f>F225+G225</f>
        <v>3000</v>
      </c>
      <c r="I225" s="21">
        <f aca="true" t="shared" si="69" ref="I225:J228">C225+F225</f>
        <v>1192627</v>
      </c>
      <c r="J225" s="21">
        <f t="shared" si="69"/>
        <v>0</v>
      </c>
      <c r="K225" s="21">
        <f>SUM(E225+H225)</f>
        <v>1192627</v>
      </c>
    </row>
    <row r="226" spans="1:11" s="55" customFormat="1" ht="15" customHeight="1">
      <c r="A226" s="54" t="s">
        <v>53</v>
      </c>
      <c r="B226" s="55" t="s">
        <v>59</v>
      </c>
      <c r="C226" s="56">
        <v>153250</v>
      </c>
      <c r="D226" s="56">
        <v>0</v>
      </c>
      <c r="E226" s="57">
        <f>SUM(C226:D226)</f>
        <v>153250</v>
      </c>
      <c r="F226" s="58">
        <v>3000</v>
      </c>
      <c r="G226" s="58">
        <v>0</v>
      </c>
      <c r="H226" s="57">
        <f>F226+G226</f>
        <v>3000</v>
      </c>
      <c r="I226" s="57">
        <f t="shared" si="69"/>
        <v>156250</v>
      </c>
      <c r="J226" s="57">
        <f t="shared" si="69"/>
        <v>0</v>
      </c>
      <c r="K226" s="57">
        <f>E226+H226</f>
        <v>156250</v>
      </c>
    </row>
    <row r="227" spans="1:11" s="59" customFormat="1" ht="15" customHeight="1">
      <c r="A227" s="54" t="s">
        <v>54</v>
      </c>
      <c r="B227" s="55" t="s">
        <v>55</v>
      </c>
      <c r="C227" s="58">
        <v>20900</v>
      </c>
      <c r="D227" s="58">
        <v>0</v>
      </c>
      <c r="E227" s="57">
        <f>SUM(C227:D227)</f>
        <v>20900</v>
      </c>
      <c r="F227" s="58">
        <v>300</v>
      </c>
      <c r="G227" s="58">
        <v>0</v>
      </c>
      <c r="H227" s="57">
        <f>F227+G227</f>
        <v>300</v>
      </c>
      <c r="I227" s="57">
        <f t="shared" si="69"/>
        <v>21200</v>
      </c>
      <c r="J227" s="57">
        <f t="shared" si="69"/>
        <v>0</v>
      </c>
      <c r="K227" s="57">
        <f>E227+H227</f>
        <v>21200</v>
      </c>
    </row>
    <row r="228" spans="1:11" s="55" customFormat="1" ht="15" customHeight="1">
      <c r="A228" s="54" t="s">
        <v>26</v>
      </c>
      <c r="B228" s="55" t="s">
        <v>27</v>
      </c>
      <c r="C228" s="56">
        <v>2500</v>
      </c>
      <c r="D228" s="56">
        <v>0</v>
      </c>
      <c r="E228" s="57">
        <f>SUM(C228:D228)</f>
        <v>2500</v>
      </c>
      <c r="F228" s="58">
        <v>-300</v>
      </c>
      <c r="G228" s="58">
        <v>0</v>
      </c>
      <c r="H228" s="57">
        <f>F228+G228</f>
        <v>-300</v>
      </c>
      <c r="I228" s="57">
        <f t="shared" si="69"/>
        <v>2200</v>
      </c>
      <c r="J228" s="57">
        <f t="shared" si="69"/>
        <v>0</v>
      </c>
      <c r="K228" s="57">
        <f>E228+H228</f>
        <v>2200</v>
      </c>
    </row>
    <row r="229" spans="1:11" s="33" customFormat="1" ht="15" customHeight="1">
      <c r="A229" s="32">
        <v>80130</v>
      </c>
      <c r="B229" s="33" t="s">
        <v>33</v>
      </c>
      <c r="C229" s="20">
        <v>13654771</v>
      </c>
      <c r="D229" s="20">
        <v>0</v>
      </c>
      <c r="E229" s="21">
        <f t="shared" si="64"/>
        <v>13654771</v>
      </c>
      <c r="F229" s="22">
        <f>SUM(F230:F238)</f>
        <v>-3000</v>
      </c>
      <c r="G229" s="22">
        <f>SUM(G242:G242)</f>
        <v>0</v>
      </c>
      <c r="H229" s="21">
        <f t="shared" si="65"/>
        <v>-3000</v>
      </c>
      <c r="I229" s="21">
        <f aca="true" t="shared" si="70" ref="I229:K237">C229+F229</f>
        <v>13651771</v>
      </c>
      <c r="J229" s="21">
        <f t="shared" si="70"/>
        <v>0</v>
      </c>
      <c r="K229" s="21">
        <f t="shared" si="70"/>
        <v>13651771</v>
      </c>
    </row>
    <row r="230" spans="1:11" s="55" customFormat="1" ht="15" customHeight="1">
      <c r="A230" s="54" t="s">
        <v>53</v>
      </c>
      <c r="B230" s="55" t="s">
        <v>59</v>
      </c>
      <c r="C230" s="56">
        <v>1265600</v>
      </c>
      <c r="D230" s="56">
        <v>0</v>
      </c>
      <c r="E230" s="57">
        <f t="shared" si="64"/>
        <v>1265600</v>
      </c>
      <c r="F230" s="58">
        <v>-3000</v>
      </c>
      <c r="G230" s="58">
        <v>0</v>
      </c>
      <c r="H230" s="57">
        <f t="shared" si="65"/>
        <v>-3000</v>
      </c>
      <c r="I230" s="57">
        <f t="shared" si="70"/>
        <v>1262600</v>
      </c>
      <c r="J230" s="57">
        <f t="shared" si="70"/>
        <v>0</v>
      </c>
      <c r="K230" s="57">
        <f t="shared" si="70"/>
        <v>1262600</v>
      </c>
    </row>
    <row r="231" spans="1:11" s="59" customFormat="1" ht="15" customHeight="1">
      <c r="A231" s="54" t="s">
        <v>54</v>
      </c>
      <c r="B231" s="55" t="s">
        <v>55</v>
      </c>
      <c r="C231" s="58">
        <v>164702</v>
      </c>
      <c r="D231" s="58">
        <v>0</v>
      </c>
      <c r="E231" s="57">
        <f t="shared" si="64"/>
        <v>164702</v>
      </c>
      <c r="F231" s="58">
        <v>13500</v>
      </c>
      <c r="G231" s="58">
        <v>0</v>
      </c>
      <c r="H231" s="57">
        <f t="shared" si="65"/>
        <v>13500</v>
      </c>
      <c r="I231" s="57">
        <f t="shared" si="70"/>
        <v>178202</v>
      </c>
      <c r="J231" s="57">
        <f t="shared" si="70"/>
        <v>0</v>
      </c>
      <c r="K231" s="57">
        <f t="shared" si="70"/>
        <v>178202</v>
      </c>
    </row>
    <row r="232" spans="1:11" s="35" customFormat="1" ht="15" customHeight="1">
      <c r="A232" s="34" t="s">
        <v>56</v>
      </c>
      <c r="B232" s="35" t="s">
        <v>66</v>
      </c>
      <c r="C232" s="25">
        <v>16200</v>
      </c>
      <c r="D232" s="25">
        <v>0</v>
      </c>
      <c r="E232" s="26">
        <f t="shared" si="64"/>
        <v>16200</v>
      </c>
      <c r="F232" s="27">
        <v>550</v>
      </c>
      <c r="G232" s="27">
        <v>0</v>
      </c>
      <c r="H232" s="26">
        <f t="shared" si="65"/>
        <v>550</v>
      </c>
      <c r="I232" s="26">
        <f t="shared" si="70"/>
        <v>16750</v>
      </c>
      <c r="J232" s="26">
        <f t="shared" si="70"/>
        <v>0</v>
      </c>
      <c r="K232" s="26">
        <f t="shared" si="70"/>
        <v>16750</v>
      </c>
    </row>
    <row r="233" spans="1:11" s="59" customFormat="1" ht="15" customHeight="1">
      <c r="A233" s="54" t="s">
        <v>21</v>
      </c>
      <c r="B233" s="55" t="s">
        <v>22</v>
      </c>
      <c r="C233" s="58">
        <v>222270</v>
      </c>
      <c r="D233" s="58">
        <v>0</v>
      </c>
      <c r="E233" s="57">
        <f aca="true" t="shared" si="71" ref="E233:E242">SUM(C233:D233)</f>
        <v>222270</v>
      </c>
      <c r="F233" s="58">
        <v>-550</v>
      </c>
      <c r="G233" s="58">
        <v>0</v>
      </c>
      <c r="H233" s="57">
        <f t="shared" si="65"/>
        <v>-550</v>
      </c>
      <c r="I233" s="57">
        <f t="shared" si="70"/>
        <v>221720</v>
      </c>
      <c r="J233" s="57">
        <f t="shared" si="70"/>
        <v>0</v>
      </c>
      <c r="K233" s="57">
        <f t="shared" si="70"/>
        <v>221720</v>
      </c>
    </row>
    <row r="234" spans="1:11" s="24" customFormat="1" ht="15" customHeight="1">
      <c r="A234" s="34" t="s">
        <v>45</v>
      </c>
      <c r="B234" s="35" t="s">
        <v>46</v>
      </c>
      <c r="C234" s="27">
        <v>51200</v>
      </c>
      <c r="D234" s="27">
        <v>0</v>
      </c>
      <c r="E234" s="26">
        <f t="shared" si="71"/>
        <v>51200</v>
      </c>
      <c r="F234" s="27">
        <v>-2000</v>
      </c>
      <c r="G234" s="27">
        <v>0</v>
      </c>
      <c r="H234" s="26">
        <f aca="true" t="shared" si="72" ref="H234:H242">F234+G234</f>
        <v>-2000</v>
      </c>
      <c r="I234" s="26">
        <f>C234+F234</f>
        <v>49200</v>
      </c>
      <c r="J234" s="26">
        <f t="shared" si="70"/>
        <v>0</v>
      </c>
      <c r="K234" s="26">
        <f t="shared" si="70"/>
        <v>49200</v>
      </c>
    </row>
    <row r="235" spans="1:11" s="55" customFormat="1" ht="15" customHeight="1">
      <c r="A235" s="54" t="s">
        <v>26</v>
      </c>
      <c r="B235" s="55" t="s">
        <v>27</v>
      </c>
      <c r="C235" s="56">
        <v>220131</v>
      </c>
      <c r="D235" s="56">
        <v>0</v>
      </c>
      <c r="E235" s="57">
        <f t="shared" si="71"/>
        <v>220131</v>
      </c>
      <c r="F235" s="58">
        <v>-117</v>
      </c>
      <c r="G235" s="58">
        <v>0</v>
      </c>
      <c r="H235" s="57">
        <f t="shared" si="72"/>
        <v>-117</v>
      </c>
      <c r="I235" s="57">
        <f t="shared" si="70"/>
        <v>220014</v>
      </c>
      <c r="J235" s="57">
        <f t="shared" si="70"/>
        <v>0</v>
      </c>
      <c r="K235" s="57">
        <f t="shared" si="70"/>
        <v>220014</v>
      </c>
    </row>
    <row r="236" spans="1:11" s="35" customFormat="1" ht="15" customHeight="1">
      <c r="A236" s="34" t="s">
        <v>16</v>
      </c>
      <c r="B236" s="35" t="s">
        <v>17</v>
      </c>
      <c r="C236" s="25">
        <v>99665</v>
      </c>
      <c r="D236" s="25">
        <v>0</v>
      </c>
      <c r="E236" s="26">
        <f t="shared" si="71"/>
        <v>99665</v>
      </c>
      <c r="F236" s="27">
        <v>-10000</v>
      </c>
      <c r="G236" s="27">
        <v>0</v>
      </c>
      <c r="H236" s="26">
        <f t="shared" si="72"/>
        <v>-10000</v>
      </c>
      <c r="I236" s="26">
        <f t="shared" si="70"/>
        <v>89665</v>
      </c>
      <c r="J236" s="26">
        <f t="shared" si="70"/>
        <v>0</v>
      </c>
      <c r="K236" s="26">
        <f t="shared" si="70"/>
        <v>89665</v>
      </c>
    </row>
    <row r="237" spans="1:11" s="59" customFormat="1" ht="15" customHeight="1">
      <c r="A237" s="54" t="s">
        <v>90</v>
      </c>
      <c r="B237" s="55" t="s">
        <v>91</v>
      </c>
      <c r="C237" s="58">
        <v>15700</v>
      </c>
      <c r="D237" s="58">
        <v>0</v>
      </c>
      <c r="E237" s="57">
        <f t="shared" si="71"/>
        <v>15700</v>
      </c>
      <c r="F237" s="58">
        <v>-1500</v>
      </c>
      <c r="G237" s="58">
        <v>0</v>
      </c>
      <c r="H237" s="57">
        <f t="shared" si="72"/>
        <v>-1500</v>
      </c>
      <c r="I237" s="57">
        <f t="shared" si="70"/>
        <v>14200</v>
      </c>
      <c r="J237" s="57">
        <f t="shared" si="70"/>
        <v>0</v>
      </c>
      <c r="K237" s="57">
        <f t="shared" si="70"/>
        <v>14200</v>
      </c>
    </row>
    <row r="238" spans="1:11" s="83" customFormat="1" ht="15" customHeight="1">
      <c r="A238" s="75" t="s">
        <v>77</v>
      </c>
      <c r="B238" s="76" t="s">
        <v>78</v>
      </c>
      <c r="C238" s="77">
        <v>12170</v>
      </c>
      <c r="D238" s="77">
        <v>0</v>
      </c>
      <c r="E238" s="61">
        <f t="shared" si="71"/>
        <v>12170</v>
      </c>
      <c r="F238" s="77">
        <v>117</v>
      </c>
      <c r="G238" s="77">
        <v>0</v>
      </c>
      <c r="H238" s="61">
        <f t="shared" si="72"/>
        <v>117</v>
      </c>
      <c r="I238" s="61">
        <f>C238+F238</f>
        <v>12287</v>
      </c>
      <c r="J238" s="61">
        <f>D238+G238</f>
        <v>0</v>
      </c>
      <c r="K238" s="61">
        <f>E238+H238</f>
        <v>12287</v>
      </c>
    </row>
    <row r="239" spans="1:11" s="19" customFormat="1" ht="15" customHeight="1">
      <c r="A239" s="32">
        <v>80134</v>
      </c>
      <c r="B239" s="33" t="s">
        <v>136</v>
      </c>
      <c r="C239" s="22">
        <v>0</v>
      </c>
      <c r="D239" s="22">
        <v>0</v>
      </c>
      <c r="E239" s="21">
        <f t="shared" si="71"/>
        <v>0</v>
      </c>
      <c r="F239" s="22">
        <f>SUM(F240:F242)</f>
        <v>24000</v>
      </c>
      <c r="G239" s="22">
        <f>SUM(G240:G243)</f>
        <v>0</v>
      </c>
      <c r="H239" s="21">
        <f t="shared" si="72"/>
        <v>24000</v>
      </c>
      <c r="I239" s="21">
        <f aca="true" t="shared" si="73" ref="I239:J242">C239+F239</f>
        <v>24000</v>
      </c>
      <c r="J239" s="21">
        <f t="shared" si="73"/>
        <v>0</v>
      </c>
      <c r="K239" s="21">
        <f>SUM(E239+H239)</f>
        <v>24000</v>
      </c>
    </row>
    <row r="240" spans="1:11" s="55" customFormat="1" ht="15" customHeight="1">
      <c r="A240" s="54" t="s">
        <v>20</v>
      </c>
      <c r="B240" s="55" t="s">
        <v>44</v>
      </c>
      <c r="C240" s="56">
        <v>0</v>
      </c>
      <c r="D240" s="56">
        <v>0</v>
      </c>
      <c r="E240" s="57">
        <f t="shared" si="71"/>
        <v>0</v>
      </c>
      <c r="F240" s="58">
        <v>20000</v>
      </c>
      <c r="G240" s="58">
        <v>0</v>
      </c>
      <c r="H240" s="57">
        <f t="shared" si="72"/>
        <v>20000</v>
      </c>
      <c r="I240" s="57">
        <f t="shared" si="73"/>
        <v>20000</v>
      </c>
      <c r="J240" s="57">
        <f t="shared" si="73"/>
        <v>0</v>
      </c>
      <c r="K240" s="57">
        <f>E240+H240</f>
        <v>20000</v>
      </c>
    </row>
    <row r="241" spans="1:11" s="55" customFormat="1" ht="15" customHeight="1">
      <c r="A241" s="54" t="s">
        <v>53</v>
      </c>
      <c r="B241" s="55" t="s">
        <v>59</v>
      </c>
      <c r="C241" s="56">
        <v>0</v>
      </c>
      <c r="D241" s="56">
        <v>0</v>
      </c>
      <c r="E241" s="57">
        <f t="shared" si="71"/>
        <v>0</v>
      </c>
      <c r="F241" s="58">
        <v>3500</v>
      </c>
      <c r="G241" s="58">
        <v>0</v>
      </c>
      <c r="H241" s="57">
        <f t="shared" si="72"/>
        <v>3500</v>
      </c>
      <c r="I241" s="57">
        <f t="shared" si="73"/>
        <v>3500</v>
      </c>
      <c r="J241" s="57">
        <f t="shared" si="73"/>
        <v>0</v>
      </c>
      <c r="K241" s="57">
        <f>E241+H241</f>
        <v>3500</v>
      </c>
    </row>
    <row r="242" spans="1:11" s="59" customFormat="1" ht="15" customHeight="1">
      <c r="A242" s="54" t="s">
        <v>54</v>
      </c>
      <c r="B242" s="55" t="s">
        <v>55</v>
      </c>
      <c r="C242" s="58">
        <v>0</v>
      </c>
      <c r="D242" s="58">
        <v>0</v>
      </c>
      <c r="E242" s="57">
        <f t="shared" si="71"/>
        <v>0</v>
      </c>
      <c r="F242" s="58">
        <v>500</v>
      </c>
      <c r="G242" s="58">
        <v>0</v>
      </c>
      <c r="H242" s="57">
        <f t="shared" si="72"/>
        <v>500</v>
      </c>
      <c r="I242" s="57">
        <f t="shared" si="73"/>
        <v>500</v>
      </c>
      <c r="J242" s="57">
        <f t="shared" si="73"/>
        <v>0</v>
      </c>
      <c r="K242" s="57">
        <f>E242+H242</f>
        <v>500</v>
      </c>
    </row>
    <row r="243" spans="1:11" s="105" customFormat="1" ht="15" customHeight="1">
      <c r="A243" s="72">
        <v>80195</v>
      </c>
      <c r="B243" s="73" t="s">
        <v>37</v>
      </c>
      <c r="C243" s="74">
        <v>97100</v>
      </c>
      <c r="D243" s="74">
        <v>289364</v>
      </c>
      <c r="E243" s="52">
        <f>SUM(C243:D243)</f>
        <v>386464</v>
      </c>
      <c r="F243" s="74">
        <f>SUM(F244:F244)</f>
        <v>-6000</v>
      </c>
      <c r="G243" s="74">
        <f>SUM(G244:G244)</f>
        <v>0</v>
      </c>
      <c r="H243" s="52">
        <f>F243+G243</f>
        <v>-6000</v>
      </c>
      <c r="I243" s="52">
        <f aca="true" t="shared" si="74" ref="I243:J245">C243+F243</f>
        <v>91100</v>
      </c>
      <c r="J243" s="52">
        <f t="shared" si="74"/>
        <v>289364</v>
      </c>
      <c r="K243" s="52">
        <f>SUM(E243+H243)</f>
        <v>380464</v>
      </c>
    </row>
    <row r="244" spans="1:11" s="35" customFormat="1" ht="15" customHeight="1">
      <c r="A244" s="34" t="s">
        <v>16</v>
      </c>
      <c r="B244" s="35" t="s">
        <v>17</v>
      </c>
      <c r="C244" s="25">
        <v>8670</v>
      </c>
      <c r="D244" s="25">
        <v>0</v>
      </c>
      <c r="E244" s="26">
        <f>SUM(C244:D244)</f>
        <v>8670</v>
      </c>
      <c r="F244" s="27">
        <v>-6000</v>
      </c>
      <c r="G244" s="27">
        <v>0</v>
      </c>
      <c r="H244" s="26">
        <f>F244+G244</f>
        <v>-6000</v>
      </c>
      <c r="I244" s="26">
        <f t="shared" si="74"/>
        <v>2670</v>
      </c>
      <c r="J244" s="26">
        <f t="shared" si="74"/>
        <v>0</v>
      </c>
      <c r="K244" s="26">
        <f>E244+H244</f>
        <v>2670</v>
      </c>
    </row>
    <row r="245" spans="1:11" s="19" customFormat="1" ht="15" customHeight="1">
      <c r="A245" s="9" t="s">
        <v>38</v>
      </c>
      <c r="B245" s="10" t="s">
        <v>39</v>
      </c>
      <c r="C245" s="11">
        <v>7340083</v>
      </c>
      <c r="D245" s="11">
        <v>1493621</v>
      </c>
      <c r="E245" s="4">
        <f>SUM(C245:D245)</f>
        <v>8833704</v>
      </c>
      <c r="F245" s="11">
        <f>F248+F258+F256+F266</f>
        <v>-46117</v>
      </c>
      <c r="G245" s="11">
        <f>G248+G258+G256+G266</f>
        <v>0</v>
      </c>
      <c r="H245" s="4">
        <f>F245+G245</f>
        <v>-46117</v>
      </c>
      <c r="I245" s="4">
        <f t="shared" si="74"/>
        <v>7293966</v>
      </c>
      <c r="J245" s="4">
        <f t="shared" si="74"/>
        <v>1493621</v>
      </c>
      <c r="K245" s="4">
        <f>E245+H245</f>
        <v>8787587</v>
      </c>
    </row>
    <row r="246" spans="1:11" s="24" customFormat="1" ht="15" customHeight="1">
      <c r="A246" s="12"/>
      <c r="B246" s="13" t="s">
        <v>10</v>
      </c>
      <c r="C246" s="14"/>
      <c r="D246" s="14"/>
      <c r="E246" s="6"/>
      <c r="F246" s="14"/>
      <c r="G246" s="14"/>
      <c r="H246" s="6"/>
      <c r="I246" s="6"/>
      <c r="J246" s="6"/>
      <c r="K246" s="6"/>
    </row>
    <row r="247" spans="1:11" s="28" customFormat="1" ht="15" customHeight="1">
      <c r="A247" s="15"/>
      <c r="B247" s="7" t="s">
        <v>76</v>
      </c>
      <c r="C247" s="17">
        <v>152717</v>
      </c>
      <c r="D247" s="17">
        <v>0</v>
      </c>
      <c r="E247" s="8">
        <f aca="true" t="shared" si="75" ref="E247:E261">SUM(C247:D247)</f>
        <v>152717</v>
      </c>
      <c r="F247" s="17">
        <v>0</v>
      </c>
      <c r="G247" s="17">
        <v>0</v>
      </c>
      <c r="H247" s="8">
        <f aca="true" t="shared" si="76" ref="H247:H255">F247+G247</f>
        <v>0</v>
      </c>
      <c r="I247" s="8">
        <f>C247+F247</f>
        <v>152717</v>
      </c>
      <c r="J247" s="8">
        <f>D247+G247</f>
        <v>0</v>
      </c>
      <c r="K247" s="8">
        <f>E247+H247</f>
        <v>152717</v>
      </c>
    </row>
    <row r="248" spans="1:11" s="60" customFormat="1" ht="15" customHeight="1">
      <c r="A248" s="50">
        <v>85201</v>
      </c>
      <c r="B248" s="51" t="s">
        <v>87</v>
      </c>
      <c r="C248" s="53">
        <v>4080492</v>
      </c>
      <c r="D248" s="53">
        <v>0</v>
      </c>
      <c r="E248" s="52">
        <f t="shared" si="75"/>
        <v>4080492</v>
      </c>
      <c r="F248" s="53">
        <f>SUM(F249:F255)</f>
        <v>34000</v>
      </c>
      <c r="G248" s="53">
        <f>SUM(G249:G255)</f>
        <v>0</v>
      </c>
      <c r="H248" s="52">
        <f t="shared" si="76"/>
        <v>34000</v>
      </c>
      <c r="I248" s="52">
        <f>C248+F248</f>
        <v>4114492</v>
      </c>
      <c r="J248" s="52">
        <f>D248+G248</f>
        <v>0</v>
      </c>
      <c r="K248" s="52">
        <f>SUM(E248+H248)</f>
        <v>4114492</v>
      </c>
    </row>
    <row r="249" spans="1:11" s="55" customFormat="1" ht="15" customHeight="1">
      <c r="A249" s="54" t="s">
        <v>111</v>
      </c>
      <c r="B249" s="55" t="s">
        <v>112</v>
      </c>
      <c r="C249" s="56">
        <v>1163520</v>
      </c>
      <c r="D249" s="56">
        <v>0</v>
      </c>
      <c r="E249" s="57">
        <f t="shared" si="75"/>
        <v>1163520</v>
      </c>
      <c r="F249" s="58">
        <v>20000</v>
      </c>
      <c r="G249" s="58">
        <v>0</v>
      </c>
      <c r="H249" s="57">
        <f t="shared" si="76"/>
        <v>20000</v>
      </c>
      <c r="I249" s="57">
        <f>C249+F249</f>
        <v>1183520</v>
      </c>
      <c r="J249" s="57">
        <f>D249+G249</f>
        <v>0</v>
      </c>
      <c r="K249" s="57">
        <f aca="true" t="shared" si="77" ref="K249:K255">E249+H249</f>
        <v>1183520</v>
      </c>
    </row>
    <row r="250" spans="1:11" s="55" customFormat="1" ht="15" customHeight="1">
      <c r="A250" s="54" t="s">
        <v>122</v>
      </c>
      <c r="B250" s="55" t="s">
        <v>123</v>
      </c>
      <c r="C250" s="56">
        <v>203000</v>
      </c>
      <c r="D250" s="56">
        <v>0</v>
      </c>
      <c r="E250" s="57">
        <f t="shared" si="75"/>
        <v>203000</v>
      </c>
      <c r="F250" s="58">
        <v>-7800</v>
      </c>
      <c r="G250" s="58">
        <v>0</v>
      </c>
      <c r="H250" s="57">
        <f>F250+G250</f>
        <v>-7800</v>
      </c>
      <c r="I250" s="57">
        <f aca="true" t="shared" si="78" ref="I250:K253">C250+F250</f>
        <v>195200</v>
      </c>
      <c r="J250" s="57">
        <f t="shared" si="78"/>
        <v>0</v>
      </c>
      <c r="K250" s="57">
        <f t="shared" si="78"/>
        <v>195200</v>
      </c>
    </row>
    <row r="251" spans="1:11" s="55" customFormat="1" ht="15" customHeight="1">
      <c r="A251" s="54" t="s">
        <v>114</v>
      </c>
      <c r="B251" s="55" t="s">
        <v>127</v>
      </c>
      <c r="C251" s="56">
        <v>159500</v>
      </c>
      <c r="D251" s="56">
        <v>0</v>
      </c>
      <c r="E251" s="57">
        <f t="shared" si="75"/>
        <v>159500</v>
      </c>
      <c r="F251" s="58">
        <v>14000</v>
      </c>
      <c r="G251" s="58">
        <v>0</v>
      </c>
      <c r="H251" s="57">
        <f>F251+G251</f>
        <v>14000</v>
      </c>
      <c r="I251" s="57">
        <f t="shared" si="78"/>
        <v>173500</v>
      </c>
      <c r="J251" s="57">
        <f t="shared" si="78"/>
        <v>0</v>
      </c>
      <c r="K251" s="57">
        <f t="shared" si="78"/>
        <v>173500</v>
      </c>
    </row>
    <row r="252" spans="1:11" s="55" customFormat="1" ht="15" customHeight="1">
      <c r="A252" s="54" t="s">
        <v>53</v>
      </c>
      <c r="B252" s="55" t="s">
        <v>59</v>
      </c>
      <c r="C252" s="56">
        <v>278640</v>
      </c>
      <c r="D252" s="56">
        <v>0</v>
      </c>
      <c r="E252" s="57">
        <f t="shared" si="75"/>
        <v>278640</v>
      </c>
      <c r="F252" s="58">
        <v>1000</v>
      </c>
      <c r="G252" s="58">
        <v>0</v>
      </c>
      <c r="H252" s="57">
        <f>F252+G252</f>
        <v>1000</v>
      </c>
      <c r="I252" s="57">
        <f t="shared" si="78"/>
        <v>279640</v>
      </c>
      <c r="J252" s="57">
        <f t="shared" si="78"/>
        <v>0</v>
      </c>
      <c r="K252" s="57">
        <f t="shared" si="78"/>
        <v>279640</v>
      </c>
    </row>
    <row r="253" spans="1:11" s="35" customFormat="1" ht="15" customHeight="1">
      <c r="A253" s="34" t="s">
        <v>56</v>
      </c>
      <c r="B253" s="35" t="s">
        <v>66</v>
      </c>
      <c r="C253" s="25">
        <v>2580</v>
      </c>
      <c r="D253" s="25">
        <v>0</v>
      </c>
      <c r="E253" s="26">
        <f t="shared" si="75"/>
        <v>2580</v>
      </c>
      <c r="F253" s="27">
        <v>5200</v>
      </c>
      <c r="G253" s="27">
        <v>0</v>
      </c>
      <c r="H253" s="26">
        <f>F253+G253</f>
        <v>5200</v>
      </c>
      <c r="I253" s="26">
        <f t="shared" si="78"/>
        <v>7780</v>
      </c>
      <c r="J253" s="26">
        <f t="shared" si="78"/>
        <v>0</v>
      </c>
      <c r="K253" s="26">
        <f t="shared" si="78"/>
        <v>7780</v>
      </c>
    </row>
    <row r="254" spans="1:11" s="35" customFormat="1" ht="15" customHeight="1">
      <c r="A254" s="34" t="s">
        <v>16</v>
      </c>
      <c r="B254" s="35" t="s">
        <v>17</v>
      </c>
      <c r="C254" s="25">
        <v>43700</v>
      </c>
      <c r="D254" s="25">
        <v>0</v>
      </c>
      <c r="E254" s="26">
        <f t="shared" si="75"/>
        <v>43700</v>
      </c>
      <c r="F254" s="27">
        <f>1600-1335</f>
        <v>265</v>
      </c>
      <c r="G254" s="27">
        <v>0</v>
      </c>
      <c r="H254" s="26">
        <f t="shared" si="76"/>
        <v>265</v>
      </c>
      <c r="I254" s="26">
        <f aca="true" t="shared" si="79" ref="I254:J257">C254+F254</f>
        <v>43965</v>
      </c>
      <c r="J254" s="26">
        <f t="shared" si="79"/>
        <v>0</v>
      </c>
      <c r="K254" s="26">
        <f t="shared" si="77"/>
        <v>43965</v>
      </c>
    </row>
    <row r="255" spans="1:11" s="59" customFormat="1" ht="15" customHeight="1">
      <c r="A255" s="54" t="s">
        <v>90</v>
      </c>
      <c r="B255" s="55" t="s">
        <v>91</v>
      </c>
      <c r="C255" s="58">
        <v>250</v>
      </c>
      <c r="D255" s="58">
        <v>0</v>
      </c>
      <c r="E255" s="57">
        <f t="shared" si="75"/>
        <v>250</v>
      </c>
      <c r="F255" s="58">
        <v>1335</v>
      </c>
      <c r="G255" s="58">
        <v>0</v>
      </c>
      <c r="H255" s="57">
        <f t="shared" si="76"/>
        <v>1335</v>
      </c>
      <c r="I255" s="57">
        <f t="shared" si="79"/>
        <v>1585</v>
      </c>
      <c r="J255" s="57">
        <f t="shared" si="79"/>
        <v>0</v>
      </c>
      <c r="K255" s="57">
        <f t="shared" si="77"/>
        <v>1585</v>
      </c>
    </row>
    <row r="256" spans="1:11" s="86" customFormat="1" ht="15" customHeight="1">
      <c r="A256" s="106">
        <v>85204</v>
      </c>
      <c r="B256" s="107" t="s">
        <v>115</v>
      </c>
      <c r="C256" s="108">
        <v>1859000</v>
      </c>
      <c r="D256" s="108">
        <v>0</v>
      </c>
      <c r="E256" s="109">
        <f t="shared" si="75"/>
        <v>1859000</v>
      </c>
      <c r="F256" s="110">
        <f>SUM(F257:F257)</f>
        <v>-80117</v>
      </c>
      <c r="G256" s="110">
        <f>SUM(G257:G257)</f>
        <v>0</v>
      </c>
      <c r="H256" s="109">
        <f>F256+G256</f>
        <v>-80117</v>
      </c>
      <c r="I256" s="109">
        <f t="shared" si="79"/>
        <v>1778883</v>
      </c>
      <c r="J256" s="109">
        <f t="shared" si="79"/>
        <v>0</v>
      </c>
      <c r="K256" s="109">
        <f>E256+H256</f>
        <v>1778883</v>
      </c>
    </row>
    <row r="257" spans="1:11" s="63" customFormat="1" ht="15" customHeight="1">
      <c r="A257" s="111" t="s">
        <v>114</v>
      </c>
      <c r="B257" s="112" t="s">
        <v>116</v>
      </c>
      <c r="C257" s="113">
        <v>1800000</v>
      </c>
      <c r="D257" s="113">
        <v>0</v>
      </c>
      <c r="E257" s="114">
        <f t="shared" si="75"/>
        <v>1800000</v>
      </c>
      <c r="F257" s="84">
        <f>-80117</f>
        <v>-80117</v>
      </c>
      <c r="G257" s="84">
        <v>0</v>
      </c>
      <c r="H257" s="114">
        <f>F257+G257</f>
        <v>-80117</v>
      </c>
      <c r="I257" s="114">
        <f t="shared" si="79"/>
        <v>1719883</v>
      </c>
      <c r="J257" s="114">
        <f t="shared" si="79"/>
        <v>0</v>
      </c>
      <c r="K257" s="114">
        <f>E257+H257</f>
        <v>1719883</v>
      </c>
    </row>
    <row r="258" spans="1:11" s="60" customFormat="1" ht="15" customHeight="1">
      <c r="A258" s="50">
        <v>85226</v>
      </c>
      <c r="B258" s="51" t="s">
        <v>138</v>
      </c>
      <c r="C258" s="53">
        <v>256253</v>
      </c>
      <c r="D258" s="53">
        <v>0</v>
      </c>
      <c r="E258" s="52">
        <f t="shared" si="75"/>
        <v>256253</v>
      </c>
      <c r="F258" s="53">
        <f>SUM(F259:F265)</f>
        <v>-80</v>
      </c>
      <c r="G258" s="53">
        <f>SUM(G259:G264)</f>
        <v>0</v>
      </c>
      <c r="H258" s="52">
        <f aca="true" t="shared" si="80" ref="H258:H265">F258+G258</f>
        <v>-80</v>
      </c>
      <c r="I258" s="52">
        <f aca="true" t="shared" si="81" ref="I258:K267">C258+F258</f>
        <v>256173</v>
      </c>
      <c r="J258" s="52">
        <f t="shared" si="81"/>
        <v>0</v>
      </c>
      <c r="K258" s="52">
        <f>SUM(E258+H258)</f>
        <v>256173</v>
      </c>
    </row>
    <row r="259" spans="1:11" s="55" customFormat="1" ht="15" customHeight="1">
      <c r="A259" s="54" t="s">
        <v>34</v>
      </c>
      <c r="B259" s="55" t="s">
        <v>65</v>
      </c>
      <c r="C259" s="56">
        <v>13300</v>
      </c>
      <c r="D259" s="56">
        <v>0</v>
      </c>
      <c r="E259" s="57">
        <f t="shared" si="75"/>
        <v>13300</v>
      </c>
      <c r="F259" s="58">
        <v>-466</v>
      </c>
      <c r="G259" s="58">
        <v>0</v>
      </c>
      <c r="H259" s="57">
        <f t="shared" si="80"/>
        <v>-466</v>
      </c>
      <c r="I259" s="57">
        <f t="shared" si="81"/>
        <v>12834</v>
      </c>
      <c r="J259" s="57">
        <f t="shared" si="81"/>
        <v>0</v>
      </c>
      <c r="K259" s="57">
        <f>E259+H259</f>
        <v>12834</v>
      </c>
    </row>
    <row r="260" spans="1:11" s="35" customFormat="1" ht="15" customHeight="1">
      <c r="A260" s="34" t="s">
        <v>56</v>
      </c>
      <c r="B260" s="35" t="s">
        <v>66</v>
      </c>
      <c r="C260" s="25">
        <v>0</v>
      </c>
      <c r="D260" s="25">
        <v>0</v>
      </c>
      <c r="E260" s="26">
        <f t="shared" si="75"/>
        <v>0</v>
      </c>
      <c r="F260" s="27">
        <v>1200</v>
      </c>
      <c r="G260" s="27">
        <v>0</v>
      </c>
      <c r="H260" s="26">
        <f t="shared" si="80"/>
        <v>1200</v>
      </c>
      <c r="I260" s="26">
        <f t="shared" si="81"/>
        <v>1200</v>
      </c>
      <c r="J260" s="26">
        <f t="shared" si="81"/>
        <v>0</v>
      </c>
      <c r="K260" s="26">
        <f aca="true" t="shared" si="82" ref="K260:K265">E260+H260</f>
        <v>1200</v>
      </c>
    </row>
    <row r="261" spans="1:11" s="35" customFormat="1" ht="15" customHeight="1">
      <c r="A261" s="34" t="s">
        <v>21</v>
      </c>
      <c r="B261" s="35" t="s">
        <v>22</v>
      </c>
      <c r="C261" s="25">
        <v>13500</v>
      </c>
      <c r="D261" s="25">
        <v>0</v>
      </c>
      <c r="E261" s="26">
        <f t="shared" si="75"/>
        <v>13500</v>
      </c>
      <c r="F261" s="27">
        <v>-3094</v>
      </c>
      <c r="G261" s="27">
        <v>0</v>
      </c>
      <c r="H261" s="26">
        <f t="shared" si="80"/>
        <v>-3094</v>
      </c>
      <c r="I261" s="26">
        <f t="shared" si="81"/>
        <v>10406</v>
      </c>
      <c r="J261" s="26">
        <f t="shared" si="81"/>
        <v>0</v>
      </c>
      <c r="K261" s="26">
        <f t="shared" si="82"/>
        <v>10406</v>
      </c>
    </row>
    <row r="262" spans="1:11" s="35" customFormat="1" ht="15" customHeight="1">
      <c r="A262" s="34" t="s">
        <v>16</v>
      </c>
      <c r="B262" s="35" t="s">
        <v>17</v>
      </c>
      <c r="C262" s="25">
        <v>8000</v>
      </c>
      <c r="D262" s="25">
        <v>0</v>
      </c>
      <c r="E262" s="26">
        <f aca="true" t="shared" si="83" ref="E262:E269">SUM(C262:D262)</f>
        <v>8000</v>
      </c>
      <c r="F262" s="27">
        <v>2000</v>
      </c>
      <c r="G262" s="27">
        <v>0</v>
      </c>
      <c r="H262" s="26">
        <f t="shared" si="80"/>
        <v>2000</v>
      </c>
      <c r="I262" s="26">
        <f t="shared" si="81"/>
        <v>10000</v>
      </c>
      <c r="J262" s="26">
        <f>D262+G262</f>
        <v>0</v>
      </c>
      <c r="K262" s="26">
        <f t="shared" si="82"/>
        <v>10000</v>
      </c>
    </row>
    <row r="263" spans="1:11" s="59" customFormat="1" ht="15" customHeight="1">
      <c r="A263" s="54" t="s">
        <v>90</v>
      </c>
      <c r="B263" s="55" t="s">
        <v>91</v>
      </c>
      <c r="C263" s="58">
        <v>552</v>
      </c>
      <c r="D263" s="58">
        <v>0</v>
      </c>
      <c r="E263" s="57">
        <f t="shared" si="83"/>
        <v>552</v>
      </c>
      <c r="F263" s="58">
        <v>248</v>
      </c>
      <c r="G263" s="58">
        <v>0</v>
      </c>
      <c r="H263" s="57">
        <f t="shared" si="80"/>
        <v>248</v>
      </c>
      <c r="I263" s="57">
        <f t="shared" si="81"/>
        <v>800</v>
      </c>
      <c r="J263" s="57">
        <f>D263+G263</f>
        <v>0</v>
      </c>
      <c r="K263" s="57">
        <f t="shared" si="82"/>
        <v>800</v>
      </c>
    </row>
    <row r="264" spans="1:11" s="24" customFormat="1" ht="15" customHeight="1">
      <c r="A264" s="34" t="s">
        <v>61</v>
      </c>
      <c r="B264" s="35" t="s">
        <v>62</v>
      </c>
      <c r="C264" s="27">
        <v>400</v>
      </c>
      <c r="D264" s="27">
        <v>0</v>
      </c>
      <c r="E264" s="26">
        <f t="shared" si="83"/>
        <v>400</v>
      </c>
      <c r="F264" s="27">
        <v>200</v>
      </c>
      <c r="G264" s="27">
        <v>0</v>
      </c>
      <c r="H264" s="26">
        <f t="shared" si="80"/>
        <v>200</v>
      </c>
      <c r="I264" s="26">
        <f t="shared" si="81"/>
        <v>600</v>
      </c>
      <c r="J264" s="26">
        <f>D264+G264</f>
        <v>0</v>
      </c>
      <c r="K264" s="26">
        <f t="shared" si="82"/>
        <v>600</v>
      </c>
    </row>
    <row r="265" spans="1:11" s="83" customFormat="1" ht="15" customHeight="1">
      <c r="A265" s="134" t="s">
        <v>113</v>
      </c>
      <c r="B265" s="128" t="s">
        <v>139</v>
      </c>
      <c r="C265" s="82">
        <v>9436</v>
      </c>
      <c r="D265" s="82">
        <v>0</v>
      </c>
      <c r="E265" s="135">
        <f t="shared" si="83"/>
        <v>9436</v>
      </c>
      <c r="F265" s="82">
        <v>-168</v>
      </c>
      <c r="G265" s="82">
        <v>0</v>
      </c>
      <c r="H265" s="135">
        <f t="shared" si="80"/>
        <v>-168</v>
      </c>
      <c r="I265" s="135">
        <f t="shared" si="81"/>
        <v>9268</v>
      </c>
      <c r="J265" s="135">
        <f>D265+G265</f>
        <v>0</v>
      </c>
      <c r="K265" s="135">
        <f t="shared" si="82"/>
        <v>9268</v>
      </c>
    </row>
    <row r="266" spans="1:11" s="86" customFormat="1" ht="15" customHeight="1">
      <c r="A266" s="106">
        <v>85295</v>
      </c>
      <c r="B266" s="107" t="s">
        <v>37</v>
      </c>
      <c r="C266" s="108">
        <v>15558</v>
      </c>
      <c r="D266" s="108">
        <v>0</v>
      </c>
      <c r="E266" s="109">
        <f t="shared" si="83"/>
        <v>15558</v>
      </c>
      <c r="F266" s="110">
        <f>SUM(F267:F267)</f>
        <v>80</v>
      </c>
      <c r="G266" s="110">
        <f>SUM(G267:G267)</f>
        <v>0</v>
      </c>
      <c r="H266" s="109">
        <f>F266+G266</f>
        <v>80</v>
      </c>
      <c r="I266" s="109">
        <f t="shared" si="81"/>
        <v>15638</v>
      </c>
      <c r="J266" s="109">
        <f t="shared" si="81"/>
        <v>0</v>
      </c>
      <c r="K266" s="109">
        <f t="shared" si="81"/>
        <v>15638</v>
      </c>
    </row>
    <row r="267" spans="1:11" s="63" customFormat="1" ht="15" customHeight="1">
      <c r="A267" s="111" t="s">
        <v>113</v>
      </c>
      <c r="B267" s="128" t="s">
        <v>139</v>
      </c>
      <c r="C267" s="113">
        <v>15558</v>
      </c>
      <c r="D267" s="113">
        <v>0</v>
      </c>
      <c r="E267" s="114">
        <f t="shared" si="83"/>
        <v>15558</v>
      </c>
      <c r="F267" s="84">
        <v>80</v>
      </c>
      <c r="G267" s="84">
        <v>0</v>
      </c>
      <c r="H267" s="114">
        <f>F267+G267</f>
        <v>80</v>
      </c>
      <c r="I267" s="114">
        <f t="shared" si="81"/>
        <v>15638</v>
      </c>
      <c r="J267" s="114">
        <f t="shared" si="81"/>
        <v>0</v>
      </c>
      <c r="K267" s="114">
        <f t="shared" si="81"/>
        <v>15638</v>
      </c>
    </row>
    <row r="268" spans="1:11" s="176" customFormat="1" ht="15" customHeight="1">
      <c r="A268" s="159"/>
      <c r="B268" s="175"/>
      <c r="C268" s="161"/>
      <c r="D268" s="161"/>
      <c r="E268" s="153"/>
      <c r="F268" s="162"/>
      <c r="G268" s="162"/>
      <c r="H268" s="153"/>
      <c r="I268" s="153"/>
      <c r="J268" s="153"/>
      <c r="K268" s="153"/>
    </row>
    <row r="269" spans="1:11" s="36" customFormat="1" ht="16.5" customHeight="1">
      <c r="A269" s="9" t="s">
        <v>128</v>
      </c>
      <c r="B269" s="10" t="s">
        <v>129</v>
      </c>
      <c r="C269" s="11">
        <v>909138</v>
      </c>
      <c r="D269" s="11">
        <v>132000</v>
      </c>
      <c r="E269" s="4">
        <f t="shared" si="83"/>
        <v>1041138</v>
      </c>
      <c r="F269" s="11">
        <v>0</v>
      </c>
      <c r="G269" s="11">
        <v>0</v>
      </c>
      <c r="H269" s="4">
        <f>F269+G269</f>
        <v>0</v>
      </c>
      <c r="I269" s="4">
        <f>C269+F269</f>
        <v>909138</v>
      </c>
      <c r="J269" s="4">
        <f>D269+G269</f>
        <v>132000</v>
      </c>
      <c r="K269" s="4">
        <f>E269+H269</f>
        <v>1041138</v>
      </c>
    </row>
    <row r="270" spans="1:11" ht="15" customHeight="1">
      <c r="A270" s="12"/>
      <c r="B270" s="13" t="s">
        <v>10</v>
      </c>
      <c r="C270" s="14"/>
      <c r="D270" s="14"/>
      <c r="E270" s="6"/>
      <c r="F270" s="14"/>
      <c r="G270" s="14"/>
      <c r="H270" s="6"/>
      <c r="I270" s="6"/>
      <c r="J270" s="6"/>
      <c r="K270" s="6"/>
    </row>
    <row r="271" spans="1:11" ht="15" customHeight="1">
      <c r="A271" s="15"/>
      <c r="B271" s="7" t="s">
        <v>76</v>
      </c>
      <c r="C271" s="17">
        <v>0</v>
      </c>
      <c r="D271" s="17">
        <v>0</v>
      </c>
      <c r="E271" s="8">
        <f aca="true" t="shared" si="84" ref="E271:E276">SUM(C271:D271)</f>
        <v>0</v>
      </c>
      <c r="F271" s="17">
        <f>F278</f>
        <v>0</v>
      </c>
      <c r="G271" s="17">
        <v>0</v>
      </c>
      <c r="H271" s="8">
        <f aca="true" t="shared" si="85" ref="H271:H277">F271+G271</f>
        <v>0</v>
      </c>
      <c r="I271" s="8">
        <f aca="true" t="shared" si="86" ref="I271:K277">C271+F271</f>
        <v>0</v>
      </c>
      <c r="J271" s="8">
        <f t="shared" si="86"/>
        <v>0</v>
      </c>
      <c r="K271" s="8">
        <f t="shared" si="86"/>
        <v>0</v>
      </c>
    </row>
    <row r="272" spans="1:11" s="33" customFormat="1" ht="15" customHeight="1">
      <c r="A272" s="130">
        <v>85321</v>
      </c>
      <c r="B272" s="131" t="s">
        <v>130</v>
      </c>
      <c r="C272" s="132">
        <v>30000</v>
      </c>
      <c r="D272" s="132">
        <v>132000</v>
      </c>
      <c r="E272" s="109">
        <f t="shared" si="84"/>
        <v>162000</v>
      </c>
      <c r="F272" s="133">
        <f>SUM(F273:F276)</f>
        <v>0</v>
      </c>
      <c r="G272" s="133">
        <f>SUM(G273:G276)</f>
        <v>0</v>
      </c>
      <c r="H272" s="109">
        <f t="shared" si="85"/>
        <v>0</v>
      </c>
      <c r="I272" s="109">
        <f t="shared" si="86"/>
        <v>30000</v>
      </c>
      <c r="J272" s="109">
        <f t="shared" si="86"/>
        <v>132000</v>
      </c>
      <c r="K272" s="109">
        <f t="shared" si="86"/>
        <v>162000</v>
      </c>
    </row>
    <row r="273" spans="1:11" s="55" customFormat="1" ht="15" customHeight="1">
      <c r="A273" s="54" t="s">
        <v>53</v>
      </c>
      <c r="B273" s="55" t="s">
        <v>59</v>
      </c>
      <c r="C273" s="56">
        <v>2250</v>
      </c>
      <c r="D273" s="56">
        <v>12000</v>
      </c>
      <c r="E273" s="57">
        <f t="shared" si="84"/>
        <v>14250</v>
      </c>
      <c r="F273" s="58">
        <v>0</v>
      </c>
      <c r="G273" s="58">
        <v>-38</v>
      </c>
      <c r="H273" s="57">
        <f t="shared" si="85"/>
        <v>-38</v>
      </c>
      <c r="I273" s="57">
        <f t="shared" si="86"/>
        <v>2250</v>
      </c>
      <c r="J273" s="57">
        <f t="shared" si="86"/>
        <v>11962</v>
      </c>
      <c r="K273" s="57">
        <f t="shared" si="86"/>
        <v>14212</v>
      </c>
    </row>
    <row r="274" spans="1:11" s="59" customFormat="1" ht="15" customHeight="1">
      <c r="A274" s="54" t="s">
        <v>54</v>
      </c>
      <c r="B274" s="55" t="s">
        <v>55</v>
      </c>
      <c r="C274" s="58">
        <v>250</v>
      </c>
      <c r="D274" s="58">
        <v>1600</v>
      </c>
      <c r="E274" s="57">
        <f t="shared" si="84"/>
        <v>1850</v>
      </c>
      <c r="F274" s="58">
        <v>0</v>
      </c>
      <c r="G274" s="58">
        <v>138</v>
      </c>
      <c r="H274" s="57">
        <f t="shared" si="85"/>
        <v>138</v>
      </c>
      <c r="I274" s="57">
        <f t="shared" si="86"/>
        <v>250</v>
      </c>
      <c r="J274" s="57">
        <f t="shared" si="86"/>
        <v>1738</v>
      </c>
      <c r="K274" s="57">
        <f t="shared" si="86"/>
        <v>1988</v>
      </c>
    </row>
    <row r="275" spans="1:11" s="90" customFormat="1" ht="15" customHeight="1">
      <c r="A275" s="89" t="s">
        <v>56</v>
      </c>
      <c r="B275" s="90" t="s">
        <v>66</v>
      </c>
      <c r="C275" s="66">
        <v>1000</v>
      </c>
      <c r="D275" s="66">
        <v>30000</v>
      </c>
      <c r="E275" s="26">
        <f t="shared" si="84"/>
        <v>31000</v>
      </c>
      <c r="F275" s="84">
        <v>0</v>
      </c>
      <c r="G275" s="91">
        <v>-573</v>
      </c>
      <c r="H275" s="26">
        <f t="shared" si="85"/>
        <v>-573</v>
      </c>
      <c r="I275" s="26">
        <f t="shared" si="86"/>
        <v>1000</v>
      </c>
      <c r="J275" s="26">
        <f t="shared" si="86"/>
        <v>29427</v>
      </c>
      <c r="K275" s="26">
        <f t="shared" si="86"/>
        <v>30427</v>
      </c>
    </row>
    <row r="276" spans="1:11" s="59" customFormat="1" ht="15" customHeight="1">
      <c r="A276" s="127" t="s">
        <v>113</v>
      </c>
      <c r="B276" s="128" t="s">
        <v>139</v>
      </c>
      <c r="C276" s="129">
        <v>0</v>
      </c>
      <c r="D276" s="129">
        <v>2200</v>
      </c>
      <c r="E276" s="114">
        <f t="shared" si="84"/>
        <v>2200</v>
      </c>
      <c r="F276" s="129">
        <v>0</v>
      </c>
      <c r="G276" s="129">
        <v>473</v>
      </c>
      <c r="H276" s="114">
        <f t="shared" si="85"/>
        <v>473</v>
      </c>
      <c r="I276" s="114">
        <f t="shared" si="86"/>
        <v>0</v>
      </c>
      <c r="J276" s="114">
        <f t="shared" si="86"/>
        <v>2673</v>
      </c>
      <c r="K276" s="114">
        <f t="shared" si="86"/>
        <v>2673</v>
      </c>
    </row>
    <row r="277" spans="1:11" s="36" customFormat="1" ht="16.5" customHeight="1">
      <c r="A277" s="9" t="s">
        <v>31</v>
      </c>
      <c r="B277" s="10" t="s">
        <v>32</v>
      </c>
      <c r="C277" s="11">
        <v>4736725</v>
      </c>
      <c r="D277" s="11">
        <v>1732205</v>
      </c>
      <c r="E277" s="4">
        <f>SUM(C277:D277)</f>
        <v>6468930</v>
      </c>
      <c r="F277" s="11">
        <f>F280+F285+F288+F297</f>
        <v>-78717</v>
      </c>
      <c r="G277" s="11">
        <v>0</v>
      </c>
      <c r="H277" s="4">
        <f t="shared" si="85"/>
        <v>-78717</v>
      </c>
      <c r="I277" s="4">
        <f t="shared" si="86"/>
        <v>4658008</v>
      </c>
      <c r="J277" s="4">
        <f t="shared" si="86"/>
        <v>1732205</v>
      </c>
      <c r="K277" s="4">
        <f t="shared" si="86"/>
        <v>6390213</v>
      </c>
    </row>
    <row r="278" spans="1:11" ht="15" customHeight="1">
      <c r="A278" s="12"/>
      <c r="B278" s="13" t="s">
        <v>10</v>
      </c>
      <c r="C278" s="14"/>
      <c r="D278" s="14"/>
      <c r="E278" s="6"/>
      <c r="F278" s="14"/>
      <c r="G278" s="14"/>
      <c r="H278" s="6"/>
      <c r="I278" s="6"/>
      <c r="J278" s="6"/>
      <c r="K278" s="6"/>
    </row>
    <row r="279" spans="1:11" ht="15" customHeight="1">
      <c r="A279" s="15"/>
      <c r="B279" s="7" t="s">
        <v>76</v>
      </c>
      <c r="C279" s="17">
        <v>398431</v>
      </c>
      <c r="D279" s="17">
        <v>0</v>
      </c>
      <c r="E279" s="8">
        <f aca="true" t="shared" si="87" ref="E279:E285">SUM(C279:D279)</f>
        <v>398431</v>
      </c>
      <c r="F279" s="17">
        <f>F287</f>
        <v>30000</v>
      </c>
      <c r="G279" s="17">
        <v>0</v>
      </c>
      <c r="H279" s="8">
        <f aca="true" t="shared" si="88" ref="H279:H287">F279+G279</f>
        <v>30000</v>
      </c>
      <c r="I279" s="8">
        <f>C279+F279</f>
        <v>428431</v>
      </c>
      <c r="J279" s="8">
        <f>D279+G279</f>
        <v>0</v>
      </c>
      <c r="K279" s="8">
        <f>E279+H279</f>
        <v>428431</v>
      </c>
    </row>
    <row r="280" spans="1:11" s="19" customFormat="1" ht="15" customHeight="1">
      <c r="A280" s="32">
        <v>85403</v>
      </c>
      <c r="B280" s="33" t="s">
        <v>137</v>
      </c>
      <c r="C280" s="22">
        <v>2139400</v>
      </c>
      <c r="D280" s="22">
        <v>0</v>
      </c>
      <c r="E280" s="21">
        <f t="shared" si="87"/>
        <v>2139400</v>
      </c>
      <c r="F280" s="22">
        <f>SUM(F281:F284)</f>
        <v>-93000</v>
      </c>
      <c r="G280" s="22">
        <f>SUM(G281:G284)</f>
        <v>0</v>
      </c>
      <c r="H280" s="21">
        <f t="shared" si="88"/>
        <v>-93000</v>
      </c>
      <c r="I280" s="21">
        <f aca="true" t="shared" si="89" ref="I280:J284">C280+F280</f>
        <v>2046400</v>
      </c>
      <c r="J280" s="21">
        <f t="shared" si="89"/>
        <v>0</v>
      </c>
      <c r="K280" s="21">
        <f>SUM(E280+H280)</f>
        <v>2046400</v>
      </c>
    </row>
    <row r="281" spans="1:11" s="55" customFormat="1" ht="15" customHeight="1">
      <c r="A281" s="54" t="s">
        <v>20</v>
      </c>
      <c r="B281" s="55" t="s">
        <v>44</v>
      </c>
      <c r="C281" s="56">
        <v>1369300</v>
      </c>
      <c r="D281" s="56">
        <v>0</v>
      </c>
      <c r="E281" s="57">
        <f t="shared" si="87"/>
        <v>1369300</v>
      </c>
      <c r="F281" s="58">
        <v>-73000</v>
      </c>
      <c r="G281" s="58">
        <v>0</v>
      </c>
      <c r="H281" s="57">
        <f t="shared" si="88"/>
        <v>-73000</v>
      </c>
      <c r="I281" s="57">
        <f t="shared" si="89"/>
        <v>1296300</v>
      </c>
      <c r="J281" s="57">
        <f t="shared" si="89"/>
        <v>0</v>
      </c>
      <c r="K281" s="57">
        <f>E281+H281</f>
        <v>1296300</v>
      </c>
    </row>
    <row r="282" spans="1:11" s="55" customFormat="1" ht="15" customHeight="1">
      <c r="A282" s="54" t="s">
        <v>53</v>
      </c>
      <c r="B282" s="55" t="s">
        <v>59</v>
      </c>
      <c r="C282" s="56">
        <v>234948</v>
      </c>
      <c r="D282" s="56">
        <v>0</v>
      </c>
      <c r="E282" s="57">
        <f t="shared" si="87"/>
        <v>234948</v>
      </c>
      <c r="F282" s="58">
        <v>-20000</v>
      </c>
      <c r="G282" s="58">
        <v>0</v>
      </c>
      <c r="H282" s="57">
        <f t="shared" si="88"/>
        <v>-20000</v>
      </c>
      <c r="I282" s="57">
        <f t="shared" si="89"/>
        <v>214948</v>
      </c>
      <c r="J282" s="57">
        <f t="shared" si="89"/>
        <v>0</v>
      </c>
      <c r="K282" s="57">
        <f>E282+H282</f>
        <v>214948</v>
      </c>
    </row>
    <row r="283" spans="1:11" s="90" customFormat="1" ht="15" customHeight="1">
      <c r="A283" s="89" t="s">
        <v>56</v>
      </c>
      <c r="B283" s="90" t="s">
        <v>66</v>
      </c>
      <c r="C283" s="66">
        <v>10000</v>
      </c>
      <c r="D283" s="66">
        <v>0</v>
      </c>
      <c r="E283" s="26">
        <f>SUM(C283:D283)</f>
        <v>10000</v>
      </c>
      <c r="F283" s="84">
        <v>-2000</v>
      </c>
      <c r="G283" s="91">
        <v>0</v>
      </c>
      <c r="H283" s="26">
        <f t="shared" si="88"/>
        <v>-2000</v>
      </c>
      <c r="I283" s="26">
        <f t="shared" si="89"/>
        <v>8000</v>
      </c>
      <c r="J283" s="26">
        <f t="shared" si="89"/>
        <v>0</v>
      </c>
      <c r="K283" s="26">
        <f>E283+H283</f>
        <v>8000</v>
      </c>
    </row>
    <row r="284" spans="1:11" s="55" customFormat="1" ht="15" customHeight="1">
      <c r="A284" s="54" t="s">
        <v>26</v>
      </c>
      <c r="B284" s="55" t="s">
        <v>27</v>
      </c>
      <c r="C284" s="56">
        <v>9200</v>
      </c>
      <c r="D284" s="56">
        <v>0</v>
      </c>
      <c r="E284" s="57">
        <f t="shared" si="87"/>
        <v>9200</v>
      </c>
      <c r="F284" s="58">
        <v>2000</v>
      </c>
      <c r="G284" s="58">
        <v>0</v>
      </c>
      <c r="H284" s="57">
        <f t="shared" si="88"/>
        <v>2000</v>
      </c>
      <c r="I284" s="57">
        <f t="shared" si="89"/>
        <v>11200</v>
      </c>
      <c r="J284" s="57">
        <f t="shared" si="89"/>
        <v>0</v>
      </c>
      <c r="K284" s="57">
        <f>E284+H284</f>
        <v>11200</v>
      </c>
    </row>
    <row r="285" spans="1:11" s="19" customFormat="1" ht="15" customHeight="1">
      <c r="A285" s="18">
        <v>85406</v>
      </c>
      <c r="B285" s="19" t="s">
        <v>120</v>
      </c>
      <c r="C285" s="20">
        <v>1330981</v>
      </c>
      <c r="D285" s="20">
        <v>669405</v>
      </c>
      <c r="E285" s="21">
        <f t="shared" si="87"/>
        <v>2000386</v>
      </c>
      <c r="F285" s="20">
        <f>SUM(F286:F287)</f>
        <v>30283</v>
      </c>
      <c r="G285" s="20">
        <v>0</v>
      </c>
      <c r="H285" s="21">
        <f t="shared" si="88"/>
        <v>30283</v>
      </c>
      <c r="I285" s="21">
        <f aca="true" t="shared" si="90" ref="I285:K287">C285+F285</f>
        <v>1361264</v>
      </c>
      <c r="J285" s="21">
        <f t="shared" si="90"/>
        <v>669405</v>
      </c>
      <c r="K285" s="21">
        <f t="shared" si="90"/>
        <v>2030669</v>
      </c>
    </row>
    <row r="286" spans="1:11" s="35" customFormat="1" ht="15" customHeight="1">
      <c r="A286" s="34" t="s">
        <v>16</v>
      </c>
      <c r="B286" s="35" t="s">
        <v>17</v>
      </c>
      <c r="C286" s="25">
        <v>10700</v>
      </c>
      <c r="D286" s="25">
        <v>0</v>
      </c>
      <c r="E286" s="26">
        <f aca="true" t="shared" si="91" ref="E286:E301">SUM(C286:D286)</f>
        <v>10700</v>
      </c>
      <c r="F286" s="27">
        <v>283</v>
      </c>
      <c r="G286" s="27">
        <v>0</v>
      </c>
      <c r="H286" s="26">
        <f t="shared" si="88"/>
        <v>283</v>
      </c>
      <c r="I286" s="26">
        <f t="shared" si="90"/>
        <v>10983</v>
      </c>
      <c r="J286" s="26">
        <f>D286+G286</f>
        <v>0</v>
      </c>
      <c r="K286" s="26">
        <f t="shared" si="90"/>
        <v>10983</v>
      </c>
    </row>
    <row r="287" spans="1:11" s="28" customFormat="1" ht="15" customHeight="1">
      <c r="A287" s="37" t="s">
        <v>42</v>
      </c>
      <c r="B287" s="38" t="s">
        <v>62</v>
      </c>
      <c r="C287" s="39">
        <v>373431</v>
      </c>
      <c r="D287" s="39">
        <v>0</v>
      </c>
      <c r="E287" s="30">
        <f>SUM(C287:D287)</f>
        <v>373431</v>
      </c>
      <c r="F287" s="39">
        <v>30000</v>
      </c>
      <c r="G287" s="39">
        <v>0</v>
      </c>
      <c r="H287" s="30">
        <f t="shared" si="88"/>
        <v>30000</v>
      </c>
      <c r="I287" s="30">
        <f t="shared" si="90"/>
        <v>403431</v>
      </c>
      <c r="J287" s="30">
        <f>D287+G287</f>
        <v>0</v>
      </c>
      <c r="K287" s="30">
        <f>E287+H287</f>
        <v>403431</v>
      </c>
    </row>
    <row r="288" spans="1:11" s="19" customFormat="1" ht="15" customHeight="1">
      <c r="A288" s="18">
        <v>85410</v>
      </c>
      <c r="B288" s="19" t="s">
        <v>133</v>
      </c>
      <c r="C288" s="20">
        <v>778300</v>
      </c>
      <c r="D288" s="20">
        <v>0</v>
      </c>
      <c r="E288" s="21">
        <f t="shared" si="91"/>
        <v>778300</v>
      </c>
      <c r="F288" s="20">
        <f>SUM(F289:F295)</f>
        <v>-13000</v>
      </c>
      <c r="G288" s="20">
        <v>0</v>
      </c>
      <c r="H288" s="21">
        <f aca="true" t="shared" si="92" ref="H288:H295">F288+G288</f>
        <v>-13000</v>
      </c>
      <c r="I288" s="21">
        <f aca="true" t="shared" si="93" ref="I288:I295">C288+F288</f>
        <v>765300</v>
      </c>
      <c r="J288" s="21">
        <f aca="true" t="shared" si="94" ref="J288:J293">D288+G288</f>
        <v>0</v>
      </c>
      <c r="K288" s="21">
        <f aca="true" t="shared" si="95" ref="K288:K295">E288+H288</f>
        <v>765300</v>
      </c>
    </row>
    <row r="289" spans="1:11" s="55" customFormat="1" ht="15" customHeight="1">
      <c r="A289" s="54" t="s">
        <v>20</v>
      </c>
      <c r="B289" s="55" t="s">
        <v>44</v>
      </c>
      <c r="C289" s="56">
        <v>411734</v>
      </c>
      <c r="D289" s="56">
        <v>0</v>
      </c>
      <c r="E289" s="57">
        <f t="shared" si="91"/>
        <v>411734</v>
      </c>
      <c r="F289" s="58">
        <v>10000</v>
      </c>
      <c r="G289" s="58">
        <v>0</v>
      </c>
      <c r="H289" s="57">
        <f t="shared" si="92"/>
        <v>10000</v>
      </c>
      <c r="I289" s="57">
        <f t="shared" si="93"/>
        <v>421734</v>
      </c>
      <c r="J289" s="57">
        <f t="shared" si="94"/>
        <v>0</v>
      </c>
      <c r="K289" s="57">
        <f t="shared" si="95"/>
        <v>421734</v>
      </c>
    </row>
    <row r="290" spans="1:11" s="59" customFormat="1" ht="15" customHeight="1">
      <c r="A290" s="54" t="s">
        <v>54</v>
      </c>
      <c r="B290" s="55" t="s">
        <v>55</v>
      </c>
      <c r="C290" s="58">
        <v>10200</v>
      </c>
      <c r="D290" s="58">
        <v>0</v>
      </c>
      <c r="E290" s="57">
        <f t="shared" si="91"/>
        <v>10200</v>
      </c>
      <c r="F290" s="58">
        <v>500</v>
      </c>
      <c r="G290" s="58">
        <v>0</v>
      </c>
      <c r="H290" s="57">
        <f t="shared" si="92"/>
        <v>500</v>
      </c>
      <c r="I290" s="57">
        <f t="shared" si="93"/>
        <v>10700</v>
      </c>
      <c r="J290" s="57">
        <f t="shared" si="94"/>
        <v>0</v>
      </c>
      <c r="K290" s="57">
        <f t="shared" si="95"/>
        <v>10700</v>
      </c>
    </row>
    <row r="291" spans="1:11" s="69" customFormat="1" ht="15" customHeight="1">
      <c r="A291" s="62" t="s">
        <v>21</v>
      </c>
      <c r="B291" s="63" t="s">
        <v>22</v>
      </c>
      <c r="C291" s="65">
        <v>25000</v>
      </c>
      <c r="D291" s="65">
        <v>0</v>
      </c>
      <c r="E291" s="57">
        <f t="shared" si="91"/>
        <v>25000</v>
      </c>
      <c r="F291" s="84">
        <v>-3000</v>
      </c>
      <c r="G291" s="65">
        <v>0</v>
      </c>
      <c r="H291" s="57">
        <f t="shared" si="92"/>
        <v>-3000</v>
      </c>
      <c r="I291" s="57">
        <f t="shared" si="93"/>
        <v>22000</v>
      </c>
      <c r="J291" s="57">
        <f t="shared" si="94"/>
        <v>0</v>
      </c>
      <c r="K291" s="57">
        <f t="shared" si="95"/>
        <v>22000</v>
      </c>
    </row>
    <row r="292" spans="1:11" s="35" customFormat="1" ht="15" customHeight="1">
      <c r="A292" s="34" t="s">
        <v>88</v>
      </c>
      <c r="B292" s="35" t="s">
        <v>89</v>
      </c>
      <c r="C292" s="25">
        <v>62000</v>
      </c>
      <c r="D292" s="25">
        <v>0</v>
      </c>
      <c r="E292" s="26">
        <f t="shared" si="91"/>
        <v>62000</v>
      </c>
      <c r="F292" s="27">
        <v>-7000</v>
      </c>
      <c r="G292" s="27">
        <v>0</v>
      </c>
      <c r="H292" s="26">
        <f t="shared" si="92"/>
        <v>-7000</v>
      </c>
      <c r="I292" s="26">
        <f t="shared" si="93"/>
        <v>55000</v>
      </c>
      <c r="J292" s="26">
        <f t="shared" si="94"/>
        <v>0</v>
      </c>
      <c r="K292" s="26">
        <f t="shared" si="95"/>
        <v>55000</v>
      </c>
    </row>
    <row r="293" spans="1:11" s="59" customFormat="1" ht="15" customHeight="1">
      <c r="A293" s="54" t="s">
        <v>23</v>
      </c>
      <c r="B293" s="55" t="s">
        <v>24</v>
      </c>
      <c r="C293" s="56">
        <v>121755</v>
      </c>
      <c r="D293" s="56">
        <v>0</v>
      </c>
      <c r="E293" s="57">
        <f t="shared" si="91"/>
        <v>121755</v>
      </c>
      <c r="F293" s="58">
        <v>-12870</v>
      </c>
      <c r="G293" s="58">
        <v>0</v>
      </c>
      <c r="H293" s="57">
        <f t="shared" si="92"/>
        <v>-12870</v>
      </c>
      <c r="I293" s="57">
        <f t="shared" si="93"/>
        <v>108885</v>
      </c>
      <c r="J293" s="57">
        <f t="shared" si="94"/>
        <v>0</v>
      </c>
      <c r="K293" s="57">
        <f t="shared" si="95"/>
        <v>108885</v>
      </c>
    </row>
    <row r="294" spans="1:11" s="35" customFormat="1" ht="15" customHeight="1">
      <c r="A294" s="34" t="s">
        <v>16</v>
      </c>
      <c r="B294" s="35" t="s">
        <v>17</v>
      </c>
      <c r="C294" s="25">
        <v>7000</v>
      </c>
      <c r="D294" s="25">
        <v>0</v>
      </c>
      <c r="E294" s="26">
        <f t="shared" si="91"/>
        <v>7000</v>
      </c>
      <c r="F294" s="27">
        <v>-1000</v>
      </c>
      <c r="G294" s="27">
        <v>0</v>
      </c>
      <c r="H294" s="26">
        <f t="shared" si="92"/>
        <v>-1000</v>
      </c>
      <c r="I294" s="26">
        <f t="shared" si="93"/>
        <v>6000</v>
      </c>
      <c r="J294" s="26">
        <f aca="true" t="shared" si="96" ref="J294:J302">D294+G294</f>
        <v>0</v>
      </c>
      <c r="K294" s="26">
        <f t="shared" si="95"/>
        <v>6000</v>
      </c>
    </row>
    <row r="295" spans="1:11" s="59" customFormat="1" ht="15" customHeight="1">
      <c r="A295" s="127" t="s">
        <v>113</v>
      </c>
      <c r="B295" s="128" t="s">
        <v>124</v>
      </c>
      <c r="C295" s="129">
        <v>22200</v>
      </c>
      <c r="D295" s="129">
        <v>0</v>
      </c>
      <c r="E295" s="114">
        <f t="shared" si="91"/>
        <v>22200</v>
      </c>
      <c r="F295" s="129">
        <v>370</v>
      </c>
      <c r="G295" s="129">
        <v>0</v>
      </c>
      <c r="H295" s="114">
        <f t="shared" si="92"/>
        <v>370</v>
      </c>
      <c r="I295" s="114">
        <f t="shared" si="93"/>
        <v>22570</v>
      </c>
      <c r="J295" s="114">
        <f t="shared" si="96"/>
        <v>0</v>
      </c>
      <c r="K295" s="114">
        <f t="shared" si="95"/>
        <v>22570</v>
      </c>
    </row>
    <row r="296" spans="1:11" s="154" customFormat="1" ht="38.25" customHeight="1">
      <c r="A296" s="177"/>
      <c r="B296" s="175"/>
      <c r="C296" s="178"/>
      <c r="D296" s="178"/>
      <c r="E296" s="153"/>
      <c r="F296" s="178"/>
      <c r="G296" s="178"/>
      <c r="H296" s="153"/>
      <c r="I296" s="153"/>
      <c r="J296" s="153"/>
      <c r="K296" s="153"/>
    </row>
    <row r="297" spans="1:11" s="19" customFormat="1" ht="15" customHeight="1">
      <c r="A297" s="18">
        <v>85417</v>
      </c>
      <c r="B297" s="19" t="s">
        <v>134</v>
      </c>
      <c r="C297" s="20">
        <v>6000</v>
      </c>
      <c r="D297" s="20">
        <v>0</v>
      </c>
      <c r="E297" s="21">
        <f t="shared" si="91"/>
        <v>6000</v>
      </c>
      <c r="F297" s="20">
        <f>SUM(F298:F301)</f>
        <v>-3000</v>
      </c>
      <c r="G297" s="20">
        <v>0</v>
      </c>
      <c r="H297" s="21">
        <f aca="true" t="shared" si="97" ref="H297:H302">F297+G297</f>
        <v>-3000</v>
      </c>
      <c r="I297" s="21">
        <f aca="true" t="shared" si="98" ref="I297:I302">C297+F297</f>
        <v>3000</v>
      </c>
      <c r="J297" s="21">
        <f t="shared" si="96"/>
        <v>0</v>
      </c>
      <c r="K297" s="21">
        <f aca="true" t="shared" si="99" ref="K297:K302">E297+H297</f>
        <v>3000</v>
      </c>
    </row>
    <row r="298" spans="1:11" s="69" customFormat="1" ht="15" customHeight="1">
      <c r="A298" s="62" t="s">
        <v>56</v>
      </c>
      <c r="B298" s="63" t="s">
        <v>66</v>
      </c>
      <c r="C298" s="65">
        <v>2000</v>
      </c>
      <c r="D298" s="65">
        <v>0</v>
      </c>
      <c r="E298" s="57">
        <f t="shared" si="91"/>
        <v>2000</v>
      </c>
      <c r="F298" s="65">
        <v>-2000</v>
      </c>
      <c r="G298" s="65">
        <v>0</v>
      </c>
      <c r="H298" s="57">
        <f t="shared" si="97"/>
        <v>-2000</v>
      </c>
      <c r="I298" s="57">
        <f t="shared" si="98"/>
        <v>0</v>
      </c>
      <c r="J298" s="57">
        <f t="shared" si="96"/>
        <v>0</v>
      </c>
      <c r="K298" s="57">
        <f t="shared" si="99"/>
        <v>0</v>
      </c>
    </row>
    <row r="299" spans="1:11" s="69" customFormat="1" ht="15" customHeight="1">
      <c r="A299" s="62" t="s">
        <v>21</v>
      </c>
      <c r="B299" s="63" t="s">
        <v>22</v>
      </c>
      <c r="C299" s="65">
        <v>3100</v>
      </c>
      <c r="D299" s="65">
        <v>0</v>
      </c>
      <c r="E299" s="57">
        <f t="shared" si="91"/>
        <v>3100</v>
      </c>
      <c r="F299" s="84">
        <v>-400</v>
      </c>
      <c r="G299" s="65">
        <v>0</v>
      </c>
      <c r="H299" s="57">
        <f t="shared" si="97"/>
        <v>-400</v>
      </c>
      <c r="I299" s="57">
        <f t="shared" si="98"/>
        <v>2700</v>
      </c>
      <c r="J299" s="57">
        <f t="shared" si="96"/>
        <v>0</v>
      </c>
      <c r="K299" s="57">
        <f t="shared" si="99"/>
        <v>2700</v>
      </c>
    </row>
    <row r="300" spans="1:11" s="59" customFormat="1" ht="15" customHeight="1">
      <c r="A300" s="54" t="s">
        <v>23</v>
      </c>
      <c r="B300" s="55" t="s">
        <v>24</v>
      </c>
      <c r="C300" s="56">
        <v>500</v>
      </c>
      <c r="D300" s="56">
        <v>0</v>
      </c>
      <c r="E300" s="57">
        <f t="shared" si="91"/>
        <v>500</v>
      </c>
      <c r="F300" s="58">
        <v>-500</v>
      </c>
      <c r="G300" s="58">
        <v>0</v>
      </c>
      <c r="H300" s="57">
        <f t="shared" si="97"/>
        <v>-500</v>
      </c>
      <c r="I300" s="57">
        <f t="shared" si="98"/>
        <v>0</v>
      </c>
      <c r="J300" s="57">
        <f t="shared" si="96"/>
        <v>0</v>
      </c>
      <c r="K300" s="57">
        <f t="shared" si="99"/>
        <v>0</v>
      </c>
    </row>
    <row r="301" spans="1:11" s="38" customFormat="1" ht="15" customHeight="1">
      <c r="A301" s="37" t="s">
        <v>16</v>
      </c>
      <c r="B301" s="38" t="s">
        <v>17</v>
      </c>
      <c r="C301" s="29">
        <v>400</v>
      </c>
      <c r="D301" s="29">
        <v>0</v>
      </c>
      <c r="E301" s="30">
        <f t="shared" si="91"/>
        <v>400</v>
      </c>
      <c r="F301" s="39">
        <v>-100</v>
      </c>
      <c r="G301" s="39">
        <v>0</v>
      </c>
      <c r="H301" s="30">
        <f t="shared" si="97"/>
        <v>-100</v>
      </c>
      <c r="I301" s="30">
        <f t="shared" si="98"/>
        <v>300</v>
      </c>
      <c r="J301" s="30">
        <f t="shared" si="96"/>
        <v>0</v>
      </c>
      <c r="K301" s="30">
        <f t="shared" si="99"/>
        <v>300</v>
      </c>
    </row>
    <row r="302" spans="1:11" s="95" customFormat="1" ht="15" customHeight="1">
      <c r="A302" s="115" t="s">
        <v>92</v>
      </c>
      <c r="B302" s="116" t="s">
        <v>93</v>
      </c>
      <c r="C302" s="117">
        <v>3045844</v>
      </c>
      <c r="D302" s="117">
        <v>149000</v>
      </c>
      <c r="E302" s="118">
        <f>SUM(C302:D302)</f>
        <v>3194844</v>
      </c>
      <c r="F302" s="117">
        <v>3000</v>
      </c>
      <c r="G302" s="117">
        <f>G305</f>
        <v>0</v>
      </c>
      <c r="H302" s="118">
        <f t="shared" si="97"/>
        <v>3000</v>
      </c>
      <c r="I302" s="118">
        <f t="shared" si="98"/>
        <v>3048844</v>
      </c>
      <c r="J302" s="118">
        <f t="shared" si="96"/>
        <v>149000</v>
      </c>
      <c r="K302" s="118">
        <f t="shared" si="99"/>
        <v>3197844</v>
      </c>
    </row>
    <row r="303" spans="1:11" s="99" customFormat="1" ht="15" customHeight="1">
      <c r="A303" s="119"/>
      <c r="B303" s="120" t="s">
        <v>10</v>
      </c>
      <c r="C303" s="121"/>
      <c r="D303" s="121"/>
      <c r="E303" s="122"/>
      <c r="F303" s="121"/>
      <c r="G303" s="121"/>
      <c r="H303" s="122"/>
      <c r="I303" s="122"/>
      <c r="J303" s="122"/>
      <c r="K303" s="122"/>
    </row>
    <row r="304" spans="1:11" s="102" customFormat="1" ht="15" customHeight="1">
      <c r="A304" s="123"/>
      <c r="B304" s="124" t="s">
        <v>76</v>
      </c>
      <c r="C304" s="125">
        <v>114000</v>
      </c>
      <c r="D304" s="125">
        <v>73000</v>
      </c>
      <c r="E304" s="126">
        <f>SUM(C304:D304)</f>
        <v>187000</v>
      </c>
      <c r="F304" s="125">
        <v>0</v>
      </c>
      <c r="G304" s="125">
        <v>0</v>
      </c>
      <c r="H304" s="126">
        <f>F304+G304</f>
        <v>0</v>
      </c>
      <c r="I304" s="126">
        <f>C304+F304</f>
        <v>114000</v>
      </c>
      <c r="J304" s="126">
        <f>D304+G304</f>
        <v>73000</v>
      </c>
      <c r="K304" s="126">
        <f>E304+H304</f>
        <v>187000</v>
      </c>
    </row>
    <row r="305" spans="1:11" s="86" customFormat="1" ht="15" customHeight="1">
      <c r="A305" s="106">
        <v>92116</v>
      </c>
      <c r="B305" s="107" t="s">
        <v>96</v>
      </c>
      <c r="C305" s="108">
        <v>1429582</v>
      </c>
      <c r="D305" s="108">
        <v>62000</v>
      </c>
      <c r="E305" s="109">
        <f>SUM(C305:D305)</f>
        <v>1491582</v>
      </c>
      <c r="F305" s="110">
        <f>SUM(F306:F306)</f>
        <v>3000</v>
      </c>
      <c r="G305" s="110">
        <f>SUM(G306:G306)</f>
        <v>0</v>
      </c>
      <c r="H305" s="109">
        <f>F305+G305</f>
        <v>3000</v>
      </c>
      <c r="I305" s="109">
        <f aca="true" t="shared" si="100" ref="I305:K306">C305+F305</f>
        <v>1432582</v>
      </c>
      <c r="J305" s="109">
        <f t="shared" si="100"/>
        <v>62000</v>
      </c>
      <c r="K305" s="109">
        <f t="shared" si="100"/>
        <v>1494582</v>
      </c>
    </row>
    <row r="306" spans="1:11" s="80" customFormat="1" ht="15" customHeight="1">
      <c r="A306" s="150" t="s">
        <v>94</v>
      </c>
      <c r="B306" s="151" t="s">
        <v>95</v>
      </c>
      <c r="C306" s="152">
        <v>1429582</v>
      </c>
      <c r="D306" s="152">
        <v>16000</v>
      </c>
      <c r="E306" s="135">
        <f>SUM(C306:D306)</f>
        <v>1445582</v>
      </c>
      <c r="F306" s="103">
        <v>3000</v>
      </c>
      <c r="G306" s="103">
        <v>0</v>
      </c>
      <c r="H306" s="135">
        <f>F306+G306</f>
        <v>3000</v>
      </c>
      <c r="I306" s="135">
        <f t="shared" si="100"/>
        <v>1432582</v>
      </c>
      <c r="J306" s="135">
        <f t="shared" si="100"/>
        <v>16000</v>
      </c>
      <c r="K306" s="135">
        <f t="shared" si="100"/>
        <v>1448582</v>
      </c>
    </row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</sheetData>
  <mergeCells count="12">
    <mergeCell ref="I1:K1"/>
    <mergeCell ref="I2:K2"/>
    <mergeCell ref="I3:K3"/>
    <mergeCell ref="I4:K4"/>
    <mergeCell ref="A186:K186"/>
    <mergeCell ref="A5:K5"/>
    <mergeCell ref="A6:A7"/>
    <mergeCell ref="B6:B7"/>
    <mergeCell ref="C6:E6"/>
    <mergeCell ref="F6:H6"/>
    <mergeCell ref="I6:K6"/>
    <mergeCell ref="A12:K12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31" sqref="A31:IV31"/>
    </sheetView>
  </sheetViews>
  <sheetFormatPr defaultColWidth="9.00390625" defaultRowHeight="12.75"/>
  <cols>
    <col min="1" max="1" width="11.875" style="0" customWidth="1"/>
    <col min="2" max="2" width="31.375" style="0" customWidth="1"/>
    <col min="3" max="4" width="11.125" style="0" customWidth="1"/>
    <col min="5" max="5" width="11.625" style="0" customWidth="1"/>
    <col min="6" max="6" width="10.375" style="0" bestFit="1" customWidth="1"/>
    <col min="7" max="8" width="10.25390625" style="0" customWidth="1"/>
    <col min="9" max="9" width="11.75390625" style="0" customWidth="1"/>
    <col min="10" max="10" width="10.25390625" style="0" customWidth="1"/>
    <col min="11" max="11" width="11.625" style="0" customWidth="1"/>
  </cols>
  <sheetData>
    <row r="1" spans="9:11" ht="13.5" customHeight="1">
      <c r="I1" s="194" t="s">
        <v>67</v>
      </c>
      <c r="J1" s="194"/>
      <c r="K1" s="194"/>
    </row>
    <row r="2" spans="9:11" ht="13.5" customHeight="1">
      <c r="I2" s="194" t="s">
        <v>63</v>
      </c>
      <c r="J2" s="194"/>
      <c r="K2" s="194"/>
    </row>
    <row r="3" spans="9:11" ht="13.5" customHeight="1">
      <c r="I3" s="194" t="s">
        <v>36</v>
      </c>
      <c r="J3" s="194"/>
      <c r="K3" s="194"/>
    </row>
    <row r="4" spans="9:11" ht="13.5" customHeight="1">
      <c r="I4" s="194" t="s">
        <v>64</v>
      </c>
      <c r="J4" s="194"/>
      <c r="K4" s="194"/>
    </row>
    <row r="5" spans="1:11" ht="28.5" customHeight="1">
      <c r="A5" s="188" t="s">
        <v>69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5" customHeight="1">
      <c r="A6" s="189" t="s">
        <v>1</v>
      </c>
      <c r="B6" s="189" t="s">
        <v>2</v>
      </c>
      <c r="C6" s="190" t="s">
        <v>3</v>
      </c>
      <c r="D6" s="190"/>
      <c r="E6" s="190"/>
      <c r="F6" s="190" t="s">
        <v>4</v>
      </c>
      <c r="G6" s="190"/>
      <c r="H6" s="190"/>
      <c r="I6" s="190" t="s">
        <v>5</v>
      </c>
      <c r="J6" s="190"/>
      <c r="K6" s="190"/>
    </row>
    <row r="7" spans="1:11" ht="15" customHeight="1">
      <c r="A7" s="189"/>
      <c r="B7" s="189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9" customFormat="1" ht="30.75" customHeight="1">
      <c r="A9" s="2" t="s">
        <v>9</v>
      </c>
      <c r="B9" s="3" t="s">
        <v>25</v>
      </c>
      <c r="C9" s="4">
        <v>183533101</v>
      </c>
      <c r="D9" s="4">
        <v>31431262</v>
      </c>
      <c r="E9" s="4">
        <f>SUM(C9:D9)</f>
        <v>214964363</v>
      </c>
      <c r="F9" s="4">
        <f>F13+F22</f>
        <v>0</v>
      </c>
      <c r="G9" s="4">
        <f>G13+G22</f>
        <v>0</v>
      </c>
      <c r="H9" s="4">
        <f>SUM(F9:G9)</f>
        <v>0</v>
      </c>
      <c r="I9" s="4">
        <f>C9+F9</f>
        <v>183533101</v>
      </c>
      <c r="J9" s="4">
        <f>D9+G9</f>
        <v>31431262</v>
      </c>
      <c r="K9" s="4">
        <f>E9+H9</f>
        <v>214964363</v>
      </c>
    </row>
    <row r="10" spans="1:11" s="24" customFormat="1" ht="15" customHeight="1">
      <c r="A10" s="5"/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28" customFormat="1" ht="15" customHeight="1">
      <c r="A11" s="7"/>
      <c r="B11" s="7" t="s">
        <v>11</v>
      </c>
      <c r="C11" s="8">
        <v>34654530</v>
      </c>
      <c r="D11" s="8">
        <v>877489</v>
      </c>
      <c r="E11" s="8">
        <f>SUM(C11:D11)</f>
        <v>35532019</v>
      </c>
      <c r="F11" s="8">
        <f>F15+F24</f>
        <v>0</v>
      </c>
      <c r="G11" s="8">
        <f>G15+G24</f>
        <v>0</v>
      </c>
      <c r="H11" s="8">
        <f>SUM(F11:G11)</f>
        <v>0</v>
      </c>
      <c r="I11" s="8">
        <f>C11+F11</f>
        <v>34654530</v>
      </c>
      <c r="J11" s="8">
        <f>D11+G11</f>
        <v>877489</v>
      </c>
      <c r="K11" s="8">
        <f>E11+H11</f>
        <v>35532019</v>
      </c>
    </row>
    <row r="12" spans="1:11" ht="22.5" customHeight="1">
      <c r="A12" s="191" t="s">
        <v>12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3"/>
    </row>
    <row r="13" spans="1:11" s="19" customFormat="1" ht="15" customHeight="1">
      <c r="A13" s="9" t="s">
        <v>13</v>
      </c>
      <c r="B13" s="10" t="s">
        <v>14</v>
      </c>
      <c r="C13" s="11">
        <v>128097674</v>
      </c>
      <c r="D13" s="11">
        <v>22114114</v>
      </c>
      <c r="E13" s="4">
        <f>SUM(C13:D13)</f>
        <v>150211788</v>
      </c>
      <c r="F13" s="11">
        <f>F16</f>
        <v>-2496</v>
      </c>
      <c r="G13" s="11">
        <v>0</v>
      </c>
      <c r="H13" s="4">
        <f>SUM(F13:G13)</f>
        <v>-2496</v>
      </c>
      <c r="I13" s="4">
        <f>C13+F13</f>
        <v>128095178</v>
      </c>
      <c r="J13" s="4">
        <f>D13+G13</f>
        <v>22114114</v>
      </c>
      <c r="K13" s="4">
        <f>E13+H13</f>
        <v>150209292</v>
      </c>
    </row>
    <row r="14" spans="1:11" s="24" customFormat="1" ht="15" customHeight="1">
      <c r="A14" s="12"/>
      <c r="B14" s="13" t="s">
        <v>15</v>
      </c>
      <c r="C14" s="14"/>
      <c r="D14" s="14"/>
      <c r="E14" s="14"/>
      <c r="F14" s="14"/>
      <c r="G14" s="14"/>
      <c r="H14" s="6"/>
      <c r="I14" s="6"/>
      <c r="J14" s="6"/>
      <c r="K14" s="6"/>
    </row>
    <row r="15" spans="1:11" s="28" customFormat="1" ht="15" customHeight="1">
      <c r="A15" s="15"/>
      <c r="B15" s="16" t="s">
        <v>11</v>
      </c>
      <c r="C15" s="17">
        <v>30200188</v>
      </c>
      <c r="D15" s="17">
        <v>590353</v>
      </c>
      <c r="E15" s="8">
        <f>SUM(C15:D15)</f>
        <v>30790541</v>
      </c>
      <c r="F15" s="17">
        <v>0</v>
      </c>
      <c r="G15" s="17">
        <v>0</v>
      </c>
      <c r="H15" s="8">
        <f>SUM(F15:G15)</f>
        <v>0</v>
      </c>
      <c r="I15" s="8">
        <f aca="true" t="shared" si="0" ref="I15:K16">C15+F15</f>
        <v>30200188</v>
      </c>
      <c r="J15" s="8">
        <f t="shared" si="0"/>
        <v>590353</v>
      </c>
      <c r="K15" s="8">
        <f t="shared" si="0"/>
        <v>30790541</v>
      </c>
    </row>
    <row r="16" spans="1:11" ht="15" customHeight="1">
      <c r="A16" s="9" t="s">
        <v>28</v>
      </c>
      <c r="B16" s="10" t="s">
        <v>29</v>
      </c>
      <c r="C16" s="11">
        <v>41536252</v>
      </c>
      <c r="D16" s="11">
        <v>107044</v>
      </c>
      <c r="E16" s="4">
        <f>SUM(C16:D16)</f>
        <v>41643296</v>
      </c>
      <c r="F16" s="11">
        <f>F19</f>
        <v>-2496</v>
      </c>
      <c r="G16" s="11">
        <v>0</v>
      </c>
      <c r="H16" s="4">
        <f>F16+G16</f>
        <v>-2496</v>
      </c>
      <c r="I16" s="4">
        <f t="shared" si="0"/>
        <v>41533756</v>
      </c>
      <c r="J16" s="4">
        <f t="shared" si="0"/>
        <v>107044</v>
      </c>
      <c r="K16" s="4">
        <f t="shared" si="0"/>
        <v>41640800</v>
      </c>
    </row>
    <row r="17" spans="1:11" ht="15" customHeight="1">
      <c r="A17" s="12"/>
      <c r="B17" s="13" t="s">
        <v>10</v>
      </c>
      <c r="C17" s="14"/>
      <c r="D17" s="14"/>
      <c r="E17" s="6"/>
      <c r="F17" s="14"/>
      <c r="G17" s="14"/>
      <c r="H17" s="6"/>
      <c r="I17" s="6"/>
      <c r="J17" s="6"/>
      <c r="K17" s="6"/>
    </row>
    <row r="18" spans="1:11" ht="15" customHeight="1">
      <c r="A18" s="15"/>
      <c r="B18" s="16" t="s">
        <v>11</v>
      </c>
      <c r="C18" s="17">
        <v>996419</v>
      </c>
      <c r="D18" s="17">
        <v>90000</v>
      </c>
      <c r="E18" s="8">
        <f>SUM(C18:D18)</f>
        <v>1086419</v>
      </c>
      <c r="F18" s="17">
        <v>0</v>
      </c>
      <c r="G18" s="17">
        <v>0</v>
      </c>
      <c r="H18" s="8">
        <f>F18+G18</f>
        <v>0</v>
      </c>
      <c r="I18" s="8">
        <f>C18+F18</f>
        <v>996419</v>
      </c>
      <c r="J18" s="8">
        <f>D18+G18</f>
        <v>90000</v>
      </c>
      <c r="K18" s="8">
        <f>E18+H18</f>
        <v>1086419</v>
      </c>
    </row>
    <row r="19" spans="1:11" s="42" customFormat="1" ht="13.5" customHeight="1">
      <c r="A19" s="50">
        <v>80110</v>
      </c>
      <c r="B19" s="51" t="s">
        <v>70</v>
      </c>
      <c r="C19" s="53">
        <v>13995066</v>
      </c>
      <c r="D19" s="53">
        <v>90000</v>
      </c>
      <c r="E19" s="52">
        <f>SUM(C19:D19)</f>
        <v>14085066</v>
      </c>
      <c r="F19" s="53">
        <f>SUM(F20:F20)</f>
        <v>-2496</v>
      </c>
      <c r="G19" s="53">
        <v>0</v>
      </c>
      <c r="H19" s="52">
        <f>F19+G19</f>
        <v>-2496</v>
      </c>
      <c r="I19" s="52">
        <f aca="true" t="shared" si="1" ref="I19:K20">C19+F19</f>
        <v>13992570</v>
      </c>
      <c r="J19" s="52">
        <f t="shared" si="1"/>
        <v>90000</v>
      </c>
      <c r="K19" s="52">
        <f>SUM(E19+H19)</f>
        <v>14082570</v>
      </c>
    </row>
    <row r="20" spans="1:11" s="63" customFormat="1" ht="15" customHeight="1">
      <c r="A20" s="62" t="s">
        <v>71</v>
      </c>
      <c r="B20" s="63" t="s">
        <v>72</v>
      </c>
      <c r="C20" s="64">
        <v>282700</v>
      </c>
      <c r="D20" s="64">
        <v>0</v>
      </c>
      <c r="E20" s="57">
        <f>SUM(C20:D20)</f>
        <v>282700</v>
      </c>
      <c r="F20" s="65">
        <v>-2496</v>
      </c>
      <c r="G20" s="65">
        <v>0</v>
      </c>
      <c r="H20" s="57">
        <f>F20+G20</f>
        <v>-2496</v>
      </c>
      <c r="I20" s="57">
        <f t="shared" si="1"/>
        <v>280204</v>
      </c>
      <c r="J20" s="57">
        <f t="shared" si="1"/>
        <v>0</v>
      </c>
      <c r="K20" s="57">
        <f t="shared" si="1"/>
        <v>280204</v>
      </c>
    </row>
    <row r="21" spans="1:11" s="31" customFormat="1" ht="22.5" customHeight="1">
      <c r="A21" s="185" t="s">
        <v>18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7"/>
    </row>
    <row r="22" spans="1:11" s="19" customFormat="1" ht="15" customHeight="1">
      <c r="A22" s="9" t="s">
        <v>19</v>
      </c>
      <c r="B22" s="10" t="s">
        <v>14</v>
      </c>
      <c r="C22" s="11">
        <v>55435427</v>
      </c>
      <c r="D22" s="11">
        <v>9317148</v>
      </c>
      <c r="E22" s="4">
        <f>SUM(C22:D22)</f>
        <v>64752575</v>
      </c>
      <c r="F22" s="11">
        <f>F25</f>
        <v>2496</v>
      </c>
      <c r="G22" s="11">
        <v>0</v>
      </c>
      <c r="H22" s="4">
        <f>F22+G22</f>
        <v>2496</v>
      </c>
      <c r="I22" s="4">
        <f>C22+F22</f>
        <v>55437923</v>
      </c>
      <c r="J22" s="4">
        <f>D22+G22</f>
        <v>9317148</v>
      </c>
      <c r="K22" s="4">
        <f>E22+H22</f>
        <v>64755071</v>
      </c>
    </row>
    <row r="23" spans="1:11" s="24" customFormat="1" ht="14.25" customHeight="1">
      <c r="A23" s="12"/>
      <c r="B23" s="13" t="s">
        <v>15</v>
      </c>
      <c r="C23" s="14"/>
      <c r="D23" s="14"/>
      <c r="E23" s="14"/>
      <c r="F23" s="14"/>
      <c r="G23" s="14"/>
      <c r="H23" s="6"/>
      <c r="I23" s="6"/>
      <c r="J23" s="6"/>
      <c r="K23" s="6"/>
    </row>
    <row r="24" spans="1:11" s="28" customFormat="1" ht="15" customHeight="1">
      <c r="A24" s="15"/>
      <c r="B24" s="16" t="s">
        <v>11</v>
      </c>
      <c r="C24" s="17">
        <v>4454342</v>
      </c>
      <c r="D24" s="17">
        <v>287136</v>
      </c>
      <c r="E24" s="8">
        <f>SUM(C24:D24)</f>
        <v>4741478</v>
      </c>
      <c r="F24" s="17">
        <v>0</v>
      </c>
      <c r="G24" s="17">
        <v>0</v>
      </c>
      <c r="H24" s="8">
        <f>F24+G24</f>
        <v>0</v>
      </c>
      <c r="I24" s="8">
        <f aca="true" t="shared" si="2" ref="I24:K25">C24+F24</f>
        <v>4454342</v>
      </c>
      <c r="J24" s="8">
        <f t="shared" si="2"/>
        <v>287136</v>
      </c>
      <c r="K24" s="8">
        <f t="shared" si="2"/>
        <v>4741478</v>
      </c>
    </row>
    <row r="25" spans="1:11" s="19" customFormat="1" ht="15" customHeight="1">
      <c r="A25" s="9" t="s">
        <v>28</v>
      </c>
      <c r="B25" s="10" t="s">
        <v>29</v>
      </c>
      <c r="C25" s="11">
        <v>31512305</v>
      </c>
      <c r="D25" s="11">
        <v>14542</v>
      </c>
      <c r="E25" s="4">
        <f>SUM(C25:D25)</f>
        <v>31526847</v>
      </c>
      <c r="F25" s="11">
        <f>F28+F30</f>
        <v>2496</v>
      </c>
      <c r="G25" s="11">
        <v>0</v>
      </c>
      <c r="H25" s="4">
        <f>F25+G25</f>
        <v>2496</v>
      </c>
      <c r="I25" s="4">
        <f t="shared" si="2"/>
        <v>31514801</v>
      </c>
      <c r="J25" s="4">
        <f t="shared" si="2"/>
        <v>14542</v>
      </c>
      <c r="K25" s="4">
        <f t="shared" si="2"/>
        <v>31529343</v>
      </c>
    </row>
    <row r="26" spans="1:11" s="24" customFormat="1" ht="15" customHeight="1">
      <c r="A26" s="12"/>
      <c r="B26" s="13" t="s">
        <v>10</v>
      </c>
      <c r="C26" s="14"/>
      <c r="D26" s="14"/>
      <c r="E26" s="6"/>
      <c r="F26" s="14"/>
      <c r="G26" s="14"/>
      <c r="H26" s="6"/>
      <c r="I26" s="6"/>
      <c r="J26" s="6"/>
      <c r="K26" s="6"/>
    </row>
    <row r="27" spans="1:11" s="28" customFormat="1" ht="15" customHeight="1">
      <c r="A27" s="15"/>
      <c r="B27" s="16" t="s">
        <v>11</v>
      </c>
      <c r="C27" s="17">
        <v>512668</v>
      </c>
      <c r="D27" s="17">
        <v>0</v>
      </c>
      <c r="E27" s="8">
        <f>SUM(C27:D27)</f>
        <v>512668</v>
      </c>
      <c r="F27" s="17">
        <v>0</v>
      </c>
      <c r="G27" s="17">
        <v>0</v>
      </c>
      <c r="H27" s="8">
        <f>F27+G27</f>
        <v>0</v>
      </c>
      <c r="I27" s="8">
        <f>C27+F27</f>
        <v>512668</v>
      </c>
      <c r="J27" s="8">
        <f>D27+G27</f>
        <v>0</v>
      </c>
      <c r="K27" s="8">
        <f>E27+H27</f>
        <v>512668</v>
      </c>
    </row>
    <row r="28" spans="1:11" s="33" customFormat="1" ht="13.5" customHeight="1">
      <c r="A28" s="32">
        <v>80123</v>
      </c>
      <c r="B28" s="33" t="s">
        <v>73</v>
      </c>
      <c r="C28" s="20">
        <v>1153275</v>
      </c>
      <c r="D28" s="20">
        <v>0</v>
      </c>
      <c r="E28" s="21">
        <f>SUM(C28:D28)</f>
        <v>1153275</v>
      </c>
      <c r="F28" s="22">
        <f>SUM(F29:F29)</f>
        <v>1496</v>
      </c>
      <c r="G28" s="22">
        <v>0</v>
      </c>
      <c r="H28" s="21">
        <f>F28+G28</f>
        <v>1496</v>
      </c>
      <c r="I28" s="21">
        <f aca="true" t="shared" si="3" ref="I28:K29">C28+F28</f>
        <v>1154771</v>
      </c>
      <c r="J28" s="21">
        <f t="shared" si="3"/>
        <v>0</v>
      </c>
      <c r="K28" s="21">
        <f t="shared" si="3"/>
        <v>1154771</v>
      </c>
    </row>
    <row r="29" spans="1:11" s="63" customFormat="1" ht="13.5" customHeight="1">
      <c r="A29" s="62" t="s">
        <v>71</v>
      </c>
      <c r="B29" s="63" t="s">
        <v>72</v>
      </c>
      <c r="C29" s="64">
        <v>16457</v>
      </c>
      <c r="D29" s="64">
        <v>0</v>
      </c>
      <c r="E29" s="57">
        <f>SUM(C29:D29)</f>
        <v>16457</v>
      </c>
      <c r="F29" s="65">
        <v>1496</v>
      </c>
      <c r="G29" s="65">
        <v>0</v>
      </c>
      <c r="H29" s="57">
        <f>F29+G29</f>
        <v>1496</v>
      </c>
      <c r="I29" s="57">
        <f t="shared" si="3"/>
        <v>17953</v>
      </c>
      <c r="J29" s="57">
        <f t="shared" si="3"/>
        <v>0</v>
      </c>
      <c r="K29" s="57">
        <f>E29+H29</f>
        <v>17953</v>
      </c>
    </row>
    <row r="30" spans="1:11" s="33" customFormat="1" ht="15" customHeight="1">
      <c r="A30" s="32">
        <v>80130</v>
      </c>
      <c r="B30" s="33" t="s">
        <v>33</v>
      </c>
      <c r="C30" s="20">
        <v>14209900</v>
      </c>
      <c r="D30" s="20">
        <v>0</v>
      </c>
      <c r="E30" s="21">
        <f>SUM(C30:D30)</f>
        <v>14209900</v>
      </c>
      <c r="F30" s="22">
        <f>SUM(F31:F37)</f>
        <v>1000</v>
      </c>
      <c r="G30" s="22">
        <v>0</v>
      </c>
      <c r="H30" s="21">
        <f>F30+G30</f>
        <v>1000</v>
      </c>
      <c r="I30" s="21">
        <f aca="true" t="shared" si="4" ref="I30:K31">C30+F30</f>
        <v>14210900</v>
      </c>
      <c r="J30" s="21">
        <f t="shared" si="4"/>
        <v>0</v>
      </c>
      <c r="K30" s="21">
        <f t="shared" si="4"/>
        <v>14210900</v>
      </c>
    </row>
    <row r="31" spans="1:11" s="78" customFormat="1" ht="13.5" customHeight="1">
      <c r="A31" s="75" t="s">
        <v>53</v>
      </c>
      <c r="B31" s="76" t="s">
        <v>59</v>
      </c>
      <c r="C31" s="77">
        <v>1255052</v>
      </c>
      <c r="D31" s="77">
        <v>0</v>
      </c>
      <c r="E31" s="61">
        <f>SUM(C31:D31)</f>
        <v>1255052</v>
      </c>
      <c r="F31" s="77">
        <v>1000</v>
      </c>
      <c r="G31" s="77">
        <v>0</v>
      </c>
      <c r="H31" s="61">
        <f>F31+G31</f>
        <v>1000</v>
      </c>
      <c r="I31" s="61">
        <f t="shared" si="4"/>
        <v>1256052</v>
      </c>
      <c r="J31" s="61">
        <f t="shared" si="4"/>
        <v>0</v>
      </c>
      <c r="K31" s="61">
        <f t="shared" si="4"/>
        <v>1256052</v>
      </c>
    </row>
  </sheetData>
  <mergeCells count="12">
    <mergeCell ref="I1:K1"/>
    <mergeCell ref="I2:K2"/>
    <mergeCell ref="I3:K3"/>
    <mergeCell ref="I4:K4"/>
    <mergeCell ref="A12:K12"/>
    <mergeCell ref="A21:K21"/>
    <mergeCell ref="A5:K5"/>
    <mergeCell ref="A6:A7"/>
    <mergeCell ref="B6:B7"/>
    <mergeCell ref="C6:E6"/>
    <mergeCell ref="F6:H6"/>
    <mergeCell ref="I6:K6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2006-10-02T07:51:52Z</cp:lastPrinted>
  <dcterms:created xsi:type="dcterms:W3CDTF">2003-09-26T12:48:28Z</dcterms:created>
  <dcterms:modified xsi:type="dcterms:W3CDTF">2006-10-02T09:11:57Z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