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Arkusz2" sheetId="1" r:id="rId1"/>
    <sheet name="Arkusz1" sheetId="2" r:id="rId2"/>
  </sheets>
  <definedNames>
    <definedName name="_xlnm.Print_Titles" localSheetId="1">'Arkusz1'!$7:$9</definedName>
  </definedNames>
  <calcPr fullCalcOnLoad="1"/>
</workbook>
</file>

<file path=xl/sharedStrings.xml><?xml version="1.0" encoding="utf-8"?>
<sst xmlns="http://schemas.openxmlformats.org/spreadsheetml/2006/main" count="522" uniqueCount="166">
  <si>
    <t>ZMIANY  W  PLANIE  WYDATKÓW</t>
  </si>
  <si>
    <t>klasyfikacja budżetowa</t>
  </si>
  <si>
    <t>TREŚĆ</t>
  </si>
  <si>
    <t>Plan przed zmianą</t>
  </si>
  <si>
    <t>Zmiana (+):(-)</t>
  </si>
  <si>
    <t>Plan po zmianach</t>
  </si>
  <si>
    <t>śr. wł.</t>
  </si>
  <si>
    <t>dotacje</t>
  </si>
  <si>
    <t>Razem</t>
  </si>
  <si>
    <t>A + B</t>
  </si>
  <si>
    <t>w tym:</t>
  </si>
  <si>
    <t>inwestycje</t>
  </si>
  <si>
    <t>WYDATKI  DOTYCZĄCE  ZADAŃ  GMINY</t>
  </si>
  <si>
    <t xml:space="preserve">A </t>
  </si>
  <si>
    <t>Wydatki ogółem</t>
  </si>
  <si>
    <t>w tym</t>
  </si>
  <si>
    <t>WYDATKI  DOTYCZĄCE  ZADAŃ  POWIATU</t>
  </si>
  <si>
    <t>B</t>
  </si>
  <si>
    <t>Dział 758</t>
  </si>
  <si>
    <t>Rezerwy ogólne i celowe</t>
  </si>
  <si>
    <t>§ 4810</t>
  </si>
  <si>
    <t>Różne rozliczenia</t>
  </si>
  <si>
    <t>§ 4590</t>
  </si>
  <si>
    <t>Pozostała działalność</t>
  </si>
  <si>
    <t>§ 4210</t>
  </si>
  <si>
    <t>materiały i wyposażenie</t>
  </si>
  <si>
    <t>Dział 921</t>
  </si>
  <si>
    <t>Kultura i ochrona dziec.narodowego</t>
  </si>
  <si>
    <t>Dział 851</t>
  </si>
  <si>
    <t>Ochrona zdrowia</t>
  </si>
  <si>
    <t>Przeciwdziałanie alkoholizmowi</t>
  </si>
  <si>
    <t>§ 4110</t>
  </si>
  <si>
    <t>§ 4120</t>
  </si>
  <si>
    <t>składki na FP</t>
  </si>
  <si>
    <t>§ 4170</t>
  </si>
  <si>
    <t>wynagrodzenia bezosobowe</t>
  </si>
  <si>
    <t>§ 4300</t>
  </si>
  <si>
    <t>pozostałe usługi</t>
  </si>
  <si>
    <t>§ 4440</t>
  </si>
  <si>
    <t>§ 4040</t>
  </si>
  <si>
    <t>składki na ubezpieczenia społeczne</t>
  </si>
  <si>
    <t>Dział 900</t>
  </si>
  <si>
    <t>Gospodarka komunalna</t>
  </si>
  <si>
    <t>Dział 801</t>
  </si>
  <si>
    <t>Oświata i wychowanie</t>
  </si>
  <si>
    <t>§ 4010</t>
  </si>
  <si>
    <t xml:space="preserve">wynagrodzenie </t>
  </si>
  <si>
    <t>dodatkowe wynagrodzenie roczne</t>
  </si>
  <si>
    <t>§ 4260</t>
  </si>
  <si>
    <t>energia</t>
  </si>
  <si>
    <t>odpis na ZFŚS</t>
  </si>
  <si>
    <t>Dział 854</t>
  </si>
  <si>
    <t>Edukacyjna opieka wychowawcza</t>
  </si>
  <si>
    <t>Dział 600</t>
  </si>
  <si>
    <t>Transport i łączność</t>
  </si>
  <si>
    <t>Drogi publiczne gminne</t>
  </si>
  <si>
    <t>WYDATKI OGÓŁEM   dotyczące zadań gminy i powiatu</t>
  </si>
  <si>
    <t>wynagrodzenie bezosobowe</t>
  </si>
  <si>
    <t>Drogi publiczne</t>
  </si>
  <si>
    <t>Lokalny transport zbiorowy</t>
  </si>
  <si>
    <t>majątkowe</t>
  </si>
  <si>
    <t>§ 4580</t>
  </si>
  <si>
    <t>Muzeum</t>
  </si>
  <si>
    <t>§ 2480</t>
  </si>
  <si>
    <t>dotacja dla instytucji kultury</t>
  </si>
  <si>
    <t>§ 4218</t>
  </si>
  <si>
    <t>Pomoc materialna dla uczniów</t>
  </si>
  <si>
    <t>Szkoły podstawowe</t>
  </si>
  <si>
    <t xml:space="preserve">dodatkowe wynagrodzenie roczne </t>
  </si>
  <si>
    <t>§ 4240</t>
  </si>
  <si>
    <t>pomoce naukowe, dydaktyczne</t>
  </si>
  <si>
    <t>§ 4350</t>
  </si>
  <si>
    <t>usługi dostępu do sieci internet</t>
  </si>
  <si>
    <t>Oddziały przedszkolne</t>
  </si>
  <si>
    <t>Przedszkola</t>
  </si>
  <si>
    <t>Gimnazja</t>
  </si>
  <si>
    <t>§ 4410</t>
  </si>
  <si>
    <t>podróże służbowe krajowe</t>
  </si>
  <si>
    <t>§ 6050</t>
  </si>
  <si>
    <t>wydatki inwestycyjne</t>
  </si>
  <si>
    <t>MZEA</t>
  </si>
  <si>
    <t>Dział 852</t>
  </si>
  <si>
    <t>Pomoc społeczna</t>
  </si>
  <si>
    <t>Domy pomocy społecznej</t>
  </si>
  <si>
    <t>§ 3020</t>
  </si>
  <si>
    <t>wydatki osobowe niezaliczane do wynagr.</t>
  </si>
  <si>
    <t>§ 4220</t>
  </si>
  <si>
    <t>zakup żywności</t>
  </si>
  <si>
    <t>§ 4230</t>
  </si>
  <si>
    <t>zakup leków</t>
  </si>
  <si>
    <t>§ 4270</t>
  </si>
  <si>
    <t>usługi remontowe</t>
  </si>
  <si>
    <t>Ośrodki wsparcia</t>
  </si>
  <si>
    <t>§ 2910</t>
  </si>
  <si>
    <t>Usługi opiekuńcze</t>
  </si>
  <si>
    <t>§ 3110</t>
  </si>
  <si>
    <t>świadczenia społeczne</t>
  </si>
  <si>
    <t>Ośrodki pomocy społecznej</t>
  </si>
  <si>
    <t>Dział 700</t>
  </si>
  <si>
    <t>Gospodarka mieszkaniowa</t>
  </si>
  <si>
    <t>Gospodarka gruntami i nieruchomościami</t>
  </si>
  <si>
    <t>Licea ogólnokształcące</t>
  </si>
  <si>
    <t>Szkoły zawodowe</t>
  </si>
  <si>
    <t>Dział 710</t>
  </si>
  <si>
    <t>Działalność usługowa</t>
  </si>
  <si>
    <t>Opracowania geodezyjne i kartograficzne</t>
  </si>
  <si>
    <t>Dział 010</t>
  </si>
  <si>
    <t>Rolnictwo</t>
  </si>
  <si>
    <t>§ 6060</t>
  </si>
  <si>
    <t>01095</t>
  </si>
  <si>
    <t>zakupy inwestycyjne</t>
  </si>
  <si>
    <t>§ 6800</t>
  </si>
  <si>
    <t>rezerwa na inwestycje i zakupy inwestycyjne</t>
  </si>
  <si>
    <t>rezerwa na pomoc społeczną</t>
  </si>
  <si>
    <t>Dział 754</t>
  </si>
  <si>
    <t>Bezpieczeństwo publiczne</t>
  </si>
  <si>
    <t>§ 2830</t>
  </si>
  <si>
    <t>dotacje dla innych podmiotów</t>
  </si>
  <si>
    <t>Dział 750</t>
  </si>
  <si>
    <t>Administracja publiczna</t>
  </si>
  <si>
    <t>Urząd Miasta</t>
  </si>
  <si>
    <t>zwrot dotacji wykorystanych niezg.z przezn.</t>
  </si>
  <si>
    <t>matariały i wyposażenie</t>
  </si>
  <si>
    <t>Kolonie i obozy</t>
  </si>
  <si>
    <t>zakup zywności</t>
  </si>
  <si>
    <t>podróże słuzbowe krajowe</t>
  </si>
  <si>
    <t>Światlice szkolne</t>
  </si>
  <si>
    <t>Licea profilowane</t>
  </si>
  <si>
    <t>Specjalny ośrodek szkolno-wychowawczy</t>
  </si>
  <si>
    <t>§ 4118</t>
  </si>
  <si>
    <t>§ 4128</t>
  </si>
  <si>
    <t>§ 4178</t>
  </si>
  <si>
    <t>§ 4018</t>
  </si>
  <si>
    <t>Gosp.gruntami i nieruchomościami</t>
  </si>
  <si>
    <t>kary i odszkodowania na rzecz osób fizycz.</t>
  </si>
  <si>
    <t>§ 4430</t>
  </si>
  <si>
    <t>różne opłaty i składki</t>
  </si>
  <si>
    <t>Ochrona i konserwacja zabytków</t>
  </si>
  <si>
    <t>Dział 926</t>
  </si>
  <si>
    <t>Kultura fizyczna i sport</t>
  </si>
  <si>
    <t>§ 3040</t>
  </si>
  <si>
    <t>nagrody o szczególnym charakterze</t>
  </si>
  <si>
    <t>Placówki opiekuńczo-wychowawcze</t>
  </si>
  <si>
    <t>§ 6300</t>
  </si>
  <si>
    <t>Szpitale ogólne</t>
  </si>
  <si>
    <t>pomoc finansowa na inwestycje</t>
  </si>
  <si>
    <t>dotacja dla innych podmiotów</t>
  </si>
  <si>
    <t>§ 6010</t>
  </si>
  <si>
    <t>wniesienie wkładu</t>
  </si>
  <si>
    <t>Poradnia Psychologiczno-Pedagogiczna</t>
  </si>
  <si>
    <t>dotacja dla instytucji kultury na inwestycje</t>
  </si>
  <si>
    <t>Biblioteka</t>
  </si>
  <si>
    <t>§ 6220</t>
  </si>
  <si>
    <t>Instytucje kultury fizycznej</t>
  </si>
  <si>
    <t>Zasiłki i pomoc w naturze</t>
  </si>
  <si>
    <t>świdczenia społęczne</t>
  </si>
  <si>
    <t>Rady Miasta Piotrkowa Tryb.</t>
  </si>
  <si>
    <t>Załącznik nr 3</t>
  </si>
  <si>
    <t>§ 6058</t>
  </si>
  <si>
    <t>wydatki inwestycyjne współfinansowane UE</t>
  </si>
  <si>
    <t>Świetlice szkolne</t>
  </si>
  <si>
    <t>Świadczenia społeczne</t>
  </si>
  <si>
    <t>pozostałe odsetki</t>
  </si>
  <si>
    <t>§ 4308</t>
  </si>
  <si>
    <t>z dnia   28 czerwca 2006 r.</t>
  </si>
  <si>
    <t>do Uchwały Nr  LIII/885/06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</si>
</sst>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4" xfId="0" applyNumberFormat="1" applyBorder="1" applyAlignment="1">
      <alignment horizontal="right"/>
    </xf>
    <xf numFmtId="3" fontId="0" fillId="0" borderId="4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2" borderId="3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:IV16384"/>
    </sheetView>
  </sheetViews>
  <sheetFormatPr defaultColWidth="9.00390625" defaultRowHeight="12.75"/>
  <sheetData/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="120" zoomScaleNormal="120" workbookViewId="0" topLeftCell="A145">
      <selection activeCell="F159" sqref="F159"/>
    </sheetView>
  </sheetViews>
  <sheetFormatPr defaultColWidth="9.00390625" defaultRowHeight="12.75"/>
  <cols>
    <col min="1" max="1" width="11.625" style="0" customWidth="1"/>
    <col min="2" max="2" width="37.00390625" style="0" customWidth="1"/>
    <col min="3" max="3" width="11.75390625" style="0" customWidth="1"/>
    <col min="4" max="4" width="10.625" style="0" customWidth="1"/>
    <col min="5" max="5" width="11.625" style="0" customWidth="1"/>
    <col min="6" max="6" width="10.625" style="0" bestFit="1" customWidth="1"/>
    <col min="7" max="7" width="9.375" style="0" customWidth="1"/>
    <col min="8" max="8" width="10.25390625" style="0" customWidth="1"/>
    <col min="9" max="9" width="11.75390625" style="0" customWidth="1"/>
    <col min="10" max="10" width="10.625" style="0" customWidth="1"/>
    <col min="11" max="11" width="11.375" style="0" customWidth="1"/>
  </cols>
  <sheetData>
    <row r="1" spans="9:11" ht="15" customHeight="1">
      <c r="I1" s="145" t="s">
        <v>157</v>
      </c>
      <c r="J1" s="145"/>
      <c r="K1" s="145"/>
    </row>
    <row r="2" spans="9:11" ht="15" customHeight="1">
      <c r="I2" s="145" t="s">
        <v>165</v>
      </c>
      <c r="J2" s="145"/>
      <c r="K2" s="145"/>
    </row>
    <row r="3" spans="9:11" ht="15" customHeight="1">
      <c r="I3" s="145" t="s">
        <v>156</v>
      </c>
      <c r="J3" s="145"/>
      <c r="K3" s="145"/>
    </row>
    <row r="4" spans="9:11" ht="15" customHeight="1">
      <c r="I4" s="145" t="s">
        <v>164</v>
      </c>
      <c r="J4" s="145"/>
      <c r="K4" s="145"/>
    </row>
    <row r="5" spans="9:11" ht="15" customHeight="1">
      <c r="I5" s="1"/>
      <c r="J5" s="1"/>
      <c r="K5" s="1"/>
    </row>
    <row r="6" spans="1:11" ht="22.5" customHeight="1">
      <c r="A6" s="142" t="s">
        <v>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7.25" customHeight="1">
      <c r="A7" s="143" t="s">
        <v>1</v>
      </c>
      <c r="B7" s="143" t="s">
        <v>2</v>
      </c>
      <c r="C7" s="144" t="s">
        <v>3</v>
      </c>
      <c r="D7" s="144"/>
      <c r="E7" s="144"/>
      <c r="F7" s="144" t="s">
        <v>4</v>
      </c>
      <c r="G7" s="144"/>
      <c r="H7" s="144"/>
      <c r="I7" s="144" t="s">
        <v>5</v>
      </c>
      <c r="J7" s="144"/>
      <c r="K7" s="144"/>
    </row>
    <row r="8" spans="1:11" ht="15" customHeight="1">
      <c r="A8" s="143"/>
      <c r="B8" s="143"/>
      <c r="C8" s="2" t="s">
        <v>6</v>
      </c>
      <c r="D8" s="2" t="s">
        <v>7</v>
      </c>
      <c r="E8" s="2" t="s">
        <v>8</v>
      </c>
      <c r="F8" s="2" t="s">
        <v>6</v>
      </c>
      <c r="G8" s="2" t="s">
        <v>7</v>
      </c>
      <c r="H8" s="2" t="s">
        <v>8</v>
      </c>
      <c r="I8" s="2" t="s">
        <v>6</v>
      </c>
      <c r="J8" s="2" t="s">
        <v>7</v>
      </c>
      <c r="K8" s="2" t="s">
        <v>8</v>
      </c>
    </row>
    <row r="9" spans="1:11" ht="11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s="7" customFormat="1" ht="30" customHeight="1">
      <c r="A10" s="4" t="s">
        <v>9</v>
      </c>
      <c r="B10" s="5" t="s">
        <v>56</v>
      </c>
      <c r="C10" s="6">
        <v>213293546</v>
      </c>
      <c r="D10" s="6">
        <v>40998712</v>
      </c>
      <c r="E10" s="6">
        <f>SUM(C10:D10)</f>
        <v>254292258</v>
      </c>
      <c r="F10" s="6">
        <f>F14+F214</f>
        <v>-1124303</v>
      </c>
      <c r="G10" s="6">
        <f>G14+G214</f>
        <v>1049108</v>
      </c>
      <c r="H10" s="6">
        <f>SUM(F10:G10)</f>
        <v>-75195</v>
      </c>
      <c r="I10" s="6">
        <f>C10+F10</f>
        <v>212169243</v>
      </c>
      <c r="J10" s="6">
        <f>D10+G10</f>
        <v>42047820</v>
      </c>
      <c r="K10" s="6">
        <f>E10+H10</f>
        <v>254217063</v>
      </c>
    </row>
    <row r="11" spans="1:11" s="10" customFormat="1" ht="15" customHeight="1">
      <c r="A11" s="8"/>
      <c r="B11" s="8" t="s">
        <v>10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s="13" customFormat="1" ht="15" customHeight="1">
      <c r="A12" s="11"/>
      <c r="B12" s="11" t="s">
        <v>60</v>
      </c>
      <c r="C12" s="12">
        <v>45148566</v>
      </c>
      <c r="D12" s="12">
        <v>8221359</v>
      </c>
      <c r="E12" s="12">
        <f>SUM(C12:D12)</f>
        <v>53369925</v>
      </c>
      <c r="F12" s="12">
        <f>F16+F216</f>
        <v>887022</v>
      </c>
      <c r="G12" s="12">
        <f>G16+G216</f>
        <v>481000</v>
      </c>
      <c r="H12" s="12">
        <f>SUM(F12:G12)</f>
        <v>1368022</v>
      </c>
      <c r="I12" s="12">
        <f>C12+F12</f>
        <v>46035588</v>
      </c>
      <c r="J12" s="12">
        <f>D12+G12</f>
        <v>8702359</v>
      </c>
      <c r="K12" s="12">
        <f>E12+H12</f>
        <v>54737947</v>
      </c>
    </row>
    <row r="13" spans="1:11" ht="21" customHeight="1">
      <c r="A13" s="138" t="s">
        <v>12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s="104" customFormat="1" ht="15" customHeight="1">
      <c r="A14" s="101" t="s">
        <v>13</v>
      </c>
      <c r="B14" s="101" t="s">
        <v>14</v>
      </c>
      <c r="C14" s="102">
        <v>151268527</v>
      </c>
      <c r="D14" s="102">
        <v>23437407</v>
      </c>
      <c r="E14" s="103">
        <f>SUM(C14:D14)</f>
        <v>174705934</v>
      </c>
      <c r="F14" s="102">
        <f>F17+F35+F42+F47+F59+F65+F75+F119+F125+F168+F177+F187+F193</f>
        <v>-1433101</v>
      </c>
      <c r="G14" s="102">
        <f>G17+G35+G42+G47+G59+G65+G75+G119+G125+G168+G177+G187+G193</f>
        <v>641108</v>
      </c>
      <c r="H14" s="103">
        <f>SUM(F14:G14)</f>
        <v>-791993</v>
      </c>
      <c r="I14" s="103">
        <f>C14+F14</f>
        <v>149835426</v>
      </c>
      <c r="J14" s="103">
        <f>D14+G14</f>
        <v>24078515</v>
      </c>
      <c r="K14" s="103">
        <f>E14+H14</f>
        <v>173913941</v>
      </c>
    </row>
    <row r="15" spans="1:11" s="108" customFormat="1" ht="15" customHeight="1">
      <c r="A15" s="105"/>
      <c r="B15" s="105" t="s">
        <v>15</v>
      </c>
      <c r="C15" s="106"/>
      <c r="D15" s="106"/>
      <c r="E15" s="106"/>
      <c r="F15" s="106"/>
      <c r="G15" s="106"/>
      <c r="H15" s="107"/>
      <c r="I15" s="107"/>
      <c r="J15" s="107"/>
      <c r="K15" s="107"/>
    </row>
    <row r="16" spans="1:11" s="112" customFormat="1" ht="15" customHeight="1">
      <c r="A16" s="109"/>
      <c r="B16" s="11" t="s">
        <v>60</v>
      </c>
      <c r="C16" s="110">
        <v>36632066</v>
      </c>
      <c r="D16" s="110">
        <v>34000</v>
      </c>
      <c r="E16" s="111">
        <f>SUM(C16:D16)</f>
        <v>36666066</v>
      </c>
      <c r="F16" s="110">
        <f>F219+F19+F37+F44+F49+F61+F67+F77+F121+F127+F170+F179</f>
        <v>583382</v>
      </c>
      <c r="G16" s="110">
        <f>G19+G37+G44+G49+G61+G67+G77+G121+G127+G170+G179</f>
        <v>0</v>
      </c>
      <c r="H16" s="111">
        <f>SUM(F16:G16)</f>
        <v>583382</v>
      </c>
      <c r="I16" s="111">
        <f aca="true" t="shared" si="0" ref="I16:K17">C16+F16</f>
        <v>37215448</v>
      </c>
      <c r="J16" s="111">
        <f t="shared" si="0"/>
        <v>34000</v>
      </c>
      <c r="K16" s="111">
        <f t="shared" si="0"/>
        <v>37249448</v>
      </c>
    </row>
    <row r="17" spans="1:11" s="36" customFormat="1" ht="15" customHeight="1">
      <c r="A17" s="3" t="s">
        <v>53</v>
      </c>
      <c r="B17" s="15" t="s">
        <v>54</v>
      </c>
      <c r="C17" s="16">
        <v>30984400</v>
      </c>
      <c r="D17" s="16">
        <v>0</v>
      </c>
      <c r="E17" s="6">
        <f>SUM(C17:D17)</f>
        <v>30984400</v>
      </c>
      <c r="F17" s="16">
        <f>F20+F25+F32</f>
        <v>-1676007</v>
      </c>
      <c r="G17" s="16">
        <v>0</v>
      </c>
      <c r="H17" s="6">
        <f>F17+G17</f>
        <v>-1676007</v>
      </c>
      <c r="I17" s="6">
        <f t="shared" si="0"/>
        <v>29308393</v>
      </c>
      <c r="J17" s="6">
        <f t="shared" si="0"/>
        <v>0</v>
      </c>
      <c r="K17" s="6">
        <f t="shared" si="0"/>
        <v>29308393</v>
      </c>
    </row>
    <row r="18" spans="1:11" s="34" customFormat="1" ht="15" customHeight="1">
      <c r="A18" s="14"/>
      <c r="B18" s="17" t="s">
        <v>10</v>
      </c>
      <c r="C18" s="18"/>
      <c r="D18" s="18"/>
      <c r="E18" s="9"/>
      <c r="F18" s="18"/>
      <c r="G18" s="18"/>
      <c r="H18" s="9"/>
      <c r="I18" s="9"/>
      <c r="J18" s="9"/>
      <c r="K18" s="9"/>
    </row>
    <row r="19" spans="1:11" s="37" customFormat="1" ht="15" customHeight="1">
      <c r="A19" s="19"/>
      <c r="B19" s="11" t="s">
        <v>60</v>
      </c>
      <c r="C19" s="21">
        <v>17923000</v>
      </c>
      <c r="D19" s="21">
        <v>0</v>
      </c>
      <c r="E19" s="12">
        <f aca="true" t="shared" si="1" ref="E19:E25">SUM(C19:D19)</f>
        <v>17923000</v>
      </c>
      <c r="F19" s="21">
        <f>F24+F31</f>
        <v>490000</v>
      </c>
      <c r="G19" s="21">
        <v>0</v>
      </c>
      <c r="H19" s="12">
        <f aca="true" t="shared" si="2" ref="H19:H25">F19+G19</f>
        <v>490000</v>
      </c>
      <c r="I19" s="12">
        <f aca="true" t="shared" si="3" ref="I19:K25">C19+F19</f>
        <v>18413000</v>
      </c>
      <c r="J19" s="12">
        <f t="shared" si="3"/>
        <v>0</v>
      </c>
      <c r="K19" s="12">
        <f t="shared" si="3"/>
        <v>18413000</v>
      </c>
    </row>
    <row r="20" spans="1:11" s="29" customFormat="1" ht="14.25" customHeight="1">
      <c r="A20" s="28">
        <v>60004</v>
      </c>
      <c r="B20" s="29" t="s">
        <v>59</v>
      </c>
      <c r="C20" s="23">
        <v>7060000</v>
      </c>
      <c r="D20" s="23">
        <v>0</v>
      </c>
      <c r="E20" s="24">
        <f t="shared" si="1"/>
        <v>7060000</v>
      </c>
      <c r="F20" s="30">
        <f>SUM(F21:F24)</f>
        <v>-2199924</v>
      </c>
      <c r="G20" s="30">
        <v>0</v>
      </c>
      <c r="H20" s="24">
        <f t="shared" si="2"/>
        <v>-2199924</v>
      </c>
      <c r="I20" s="24">
        <f t="shared" si="3"/>
        <v>4860076</v>
      </c>
      <c r="J20" s="24">
        <f t="shared" si="3"/>
        <v>0</v>
      </c>
      <c r="K20" s="24">
        <f t="shared" si="3"/>
        <v>4860076</v>
      </c>
    </row>
    <row r="21" spans="1:11" s="62" customFormat="1" ht="15" customHeight="1">
      <c r="A21" s="61" t="s">
        <v>39</v>
      </c>
      <c r="B21" s="62" t="s">
        <v>47</v>
      </c>
      <c r="C21" s="63">
        <v>9500</v>
      </c>
      <c r="D21" s="63">
        <v>0</v>
      </c>
      <c r="E21" s="64">
        <f t="shared" si="1"/>
        <v>9500</v>
      </c>
      <c r="F21" s="65">
        <v>-46</v>
      </c>
      <c r="G21" s="65">
        <v>0</v>
      </c>
      <c r="H21" s="64">
        <f t="shared" si="2"/>
        <v>-46</v>
      </c>
      <c r="I21" s="64">
        <f t="shared" si="3"/>
        <v>9454</v>
      </c>
      <c r="J21" s="64">
        <f t="shared" si="3"/>
        <v>0</v>
      </c>
      <c r="K21" s="64">
        <f t="shared" si="3"/>
        <v>9454</v>
      </c>
    </row>
    <row r="22" spans="1:11" s="67" customFormat="1" ht="15" customHeight="1">
      <c r="A22" s="61" t="s">
        <v>36</v>
      </c>
      <c r="B22" s="62" t="s">
        <v>37</v>
      </c>
      <c r="C22" s="65">
        <v>6597500</v>
      </c>
      <c r="D22" s="65">
        <v>0</v>
      </c>
      <c r="E22" s="64">
        <f>SUM(C22:D22)</f>
        <v>6597500</v>
      </c>
      <c r="F22" s="65">
        <v>-2500000</v>
      </c>
      <c r="G22" s="65">
        <v>0</v>
      </c>
      <c r="H22" s="64">
        <f>F22+G22</f>
        <v>-2500000</v>
      </c>
      <c r="I22" s="64">
        <f aca="true" t="shared" si="4" ref="I22:K24">C22+F22</f>
        <v>4097500</v>
      </c>
      <c r="J22" s="64">
        <f t="shared" si="4"/>
        <v>0</v>
      </c>
      <c r="K22" s="64">
        <f t="shared" si="4"/>
        <v>4097500</v>
      </c>
    </row>
    <row r="23" spans="1:11" s="67" customFormat="1" ht="15" customHeight="1">
      <c r="A23" s="66" t="s">
        <v>38</v>
      </c>
      <c r="B23" s="67" t="s">
        <v>50</v>
      </c>
      <c r="C23" s="63">
        <v>3700</v>
      </c>
      <c r="D23" s="63">
        <v>0</v>
      </c>
      <c r="E23" s="64">
        <f>SUM(C23:D23)</f>
        <v>3700</v>
      </c>
      <c r="F23" s="65">
        <v>122</v>
      </c>
      <c r="G23" s="65">
        <v>0</v>
      </c>
      <c r="H23" s="64">
        <f>F23+G23</f>
        <v>122</v>
      </c>
      <c r="I23" s="64">
        <f>C23+F23</f>
        <v>3822</v>
      </c>
      <c r="J23" s="64">
        <f>D23+G23</f>
        <v>0</v>
      </c>
      <c r="K23" s="64">
        <f>E23+H23</f>
        <v>3822</v>
      </c>
    </row>
    <row r="24" spans="1:11" s="68" customFormat="1" ht="15" customHeight="1">
      <c r="A24" s="128" t="s">
        <v>147</v>
      </c>
      <c r="B24" s="68" t="s">
        <v>148</v>
      </c>
      <c r="C24" s="99">
        <v>0</v>
      </c>
      <c r="D24" s="99">
        <v>0</v>
      </c>
      <c r="E24" s="60">
        <f>SUM(C24:D24)</f>
        <v>0</v>
      </c>
      <c r="F24" s="59">
        <v>300000</v>
      </c>
      <c r="G24" s="59">
        <v>0</v>
      </c>
      <c r="H24" s="60">
        <f>F24+G24</f>
        <v>300000</v>
      </c>
      <c r="I24" s="60">
        <f t="shared" si="4"/>
        <v>300000</v>
      </c>
      <c r="J24" s="60">
        <f t="shared" si="4"/>
        <v>0</v>
      </c>
      <c r="K24" s="60">
        <f t="shared" si="4"/>
        <v>300000</v>
      </c>
    </row>
    <row r="25" spans="1:11" s="29" customFormat="1" ht="14.25" customHeight="1">
      <c r="A25" s="28">
        <v>60016</v>
      </c>
      <c r="B25" s="29" t="s">
        <v>55</v>
      </c>
      <c r="C25" s="23">
        <v>22463000</v>
      </c>
      <c r="D25" s="23">
        <v>0</v>
      </c>
      <c r="E25" s="24">
        <f t="shared" si="1"/>
        <v>22463000</v>
      </c>
      <c r="F25" s="30">
        <f>SUM(F26:F31)</f>
        <v>520479</v>
      </c>
      <c r="G25" s="30">
        <v>0</v>
      </c>
      <c r="H25" s="24">
        <f t="shared" si="2"/>
        <v>520479</v>
      </c>
      <c r="I25" s="24">
        <f t="shared" si="3"/>
        <v>22983479</v>
      </c>
      <c r="J25" s="24">
        <f t="shared" si="3"/>
        <v>0</v>
      </c>
      <c r="K25" s="24">
        <f t="shared" si="3"/>
        <v>22983479</v>
      </c>
    </row>
    <row r="26" spans="1:11" s="62" customFormat="1" ht="15" customHeight="1">
      <c r="A26" s="61" t="s">
        <v>39</v>
      </c>
      <c r="B26" s="62" t="s">
        <v>47</v>
      </c>
      <c r="C26" s="63">
        <v>18000</v>
      </c>
      <c r="D26" s="63">
        <v>0</v>
      </c>
      <c r="E26" s="64">
        <f aca="true" t="shared" si="5" ref="E26:E35">SUM(C26:D26)</f>
        <v>18000</v>
      </c>
      <c r="F26" s="65">
        <v>-195</v>
      </c>
      <c r="G26" s="65">
        <v>0</v>
      </c>
      <c r="H26" s="64">
        <f aca="true" t="shared" si="6" ref="H26:H35">F26+G26</f>
        <v>-195</v>
      </c>
      <c r="I26" s="64">
        <f aca="true" t="shared" si="7" ref="I26:J31">C26+F26</f>
        <v>17805</v>
      </c>
      <c r="J26" s="64">
        <f t="shared" si="7"/>
        <v>0</v>
      </c>
      <c r="K26" s="64">
        <f aca="true" t="shared" si="8" ref="K26:K35">E26+H26</f>
        <v>17805</v>
      </c>
    </row>
    <row r="27" spans="1:11" s="67" customFormat="1" ht="15" customHeight="1">
      <c r="A27" s="61" t="s">
        <v>24</v>
      </c>
      <c r="B27" s="62" t="s">
        <v>25</v>
      </c>
      <c r="C27" s="65">
        <v>104800</v>
      </c>
      <c r="D27" s="65">
        <v>0</v>
      </c>
      <c r="E27" s="64">
        <f t="shared" si="5"/>
        <v>104800</v>
      </c>
      <c r="F27" s="65">
        <v>3554</v>
      </c>
      <c r="G27" s="65">
        <v>0</v>
      </c>
      <c r="H27" s="64">
        <f t="shared" si="6"/>
        <v>3554</v>
      </c>
      <c r="I27" s="64">
        <f t="shared" si="7"/>
        <v>108354</v>
      </c>
      <c r="J27" s="64">
        <f t="shared" si="7"/>
        <v>0</v>
      </c>
      <c r="K27" s="64">
        <f t="shared" si="8"/>
        <v>108354</v>
      </c>
    </row>
    <row r="28" spans="1:11" s="67" customFormat="1" ht="15" customHeight="1">
      <c r="A28" s="61" t="s">
        <v>90</v>
      </c>
      <c r="B28" s="62" t="s">
        <v>91</v>
      </c>
      <c r="C28" s="65">
        <v>3610000</v>
      </c>
      <c r="D28" s="65">
        <v>0</v>
      </c>
      <c r="E28" s="64">
        <f>SUM(C28:D28)</f>
        <v>3610000</v>
      </c>
      <c r="F28" s="65">
        <v>300000</v>
      </c>
      <c r="G28" s="65">
        <v>0</v>
      </c>
      <c r="H28" s="64">
        <f>F28+G28</f>
        <v>300000</v>
      </c>
      <c r="I28" s="64">
        <f>C28+F28</f>
        <v>3910000</v>
      </c>
      <c r="J28" s="64">
        <f>D28+G28</f>
        <v>0</v>
      </c>
      <c r="K28" s="64">
        <f>E28+H28</f>
        <v>3910000</v>
      </c>
    </row>
    <row r="29" spans="1:11" s="67" customFormat="1" ht="15" customHeight="1">
      <c r="A29" s="61" t="s">
        <v>36</v>
      </c>
      <c r="B29" s="62" t="s">
        <v>37</v>
      </c>
      <c r="C29" s="65">
        <v>523700</v>
      </c>
      <c r="D29" s="65">
        <v>0</v>
      </c>
      <c r="E29" s="64">
        <f t="shared" si="5"/>
        <v>523700</v>
      </c>
      <c r="F29" s="65">
        <v>26800</v>
      </c>
      <c r="G29" s="65">
        <v>0</v>
      </c>
      <c r="H29" s="64">
        <f t="shared" si="6"/>
        <v>26800</v>
      </c>
      <c r="I29" s="64">
        <f t="shared" si="7"/>
        <v>550500</v>
      </c>
      <c r="J29" s="64">
        <f t="shared" si="7"/>
        <v>0</v>
      </c>
      <c r="K29" s="64">
        <f t="shared" si="8"/>
        <v>550500</v>
      </c>
    </row>
    <row r="30" spans="1:11" s="67" customFormat="1" ht="15" customHeight="1">
      <c r="A30" s="66" t="s">
        <v>38</v>
      </c>
      <c r="B30" s="67" t="s">
        <v>50</v>
      </c>
      <c r="C30" s="63">
        <v>6100</v>
      </c>
      <c r="D30" s="63">
        <v>0</v>
      </c>
      <c r="E30" s="64">
        <f>SUM(C30:D30)</f>
        <v>6100</v>
      </c>
      <c r="F30" s="65">
        <v>320</v>
      </c>
      <c r="G30" s="65">
        <v>0</v>
      </c>
      <c r="H30" s="64">
        <f>F30+G30</f>
        <v>320</v>
      </c>
      <c r="I30" s="64">
        <f>C30+F30</f>
        <v>6420</v>
      </c>
      <c r="J30" s="64">
        <f>D30+G30</f>
        <v>0</v>
      </c>
      <c r="K30" s="64">
        <f>E30+H30</f>
        <v>6420</v>
      </c>
    </row>
    <row r="31" spans="1:11" s="68" customFormat="1" ht="15" customHeight="1">
      <c r="A31" s="128" t="s">
        <v>78</v>
      </c>
      <c r="B31" s="68" t="s">
        <v>79</v>
      </c>
      <c r="C31" s="99">
        <v>7170000</v>
      </c>
      <c r="D31" s="99">
        <v>0</v>
      </c>
      <c r="E31" s="60">
        <f t="shared" si="5"/>
        <v>7170000</v>
      </c>
      <c r="F31" s="59">
        <v>190000</v>
      </c>
      <c r="G31" s="59">
        <v>0</v>
      </c>
      <c r="H31" s="60">
        <f t="shared" si="6"/>
        <v>190000</v>
      </c>
      <c r="I31" s="60">
        <f t="shared" si="7"/>
        <v>7360000</v>
      </c>
      <c r="J31" s="60">
        <f t="shared" si="7"/>
        <v>0</v>
      </c>
      <c r="K31" s="60">
        <f t="shared" si="8"/>
        <v>7360000</v>
      </c>
    </row>
    <row r="32" spans="1:11" s="29" customFormat="1" ht="14.25" customHeight="1">
      <c r="A32" s="28">
        <v>60095</v>
      </c>
      <c r="B32" s="29" t="s">
        <v>23</v>
      </c>
      <c r="C32" s="23">
        <v>1461400</v>
      </c>
      <c r="D32" s="23">
        <v>0</v>
      </c>
      <c r="E32" s="24">
        <f t="shared" si="5"/>
        <v>1461400</v>
      </c>
      <c r="F32" s="30">
        <f>SUM(F33:F34)</f>
        <v>3438</v>
      </c>
      <c r="G32" s="30">
        <v>0</v>
      </c>
      <c r="H32" s="24">
        <f t="shared" si="6"/>
        <v>3438</v>
      </c>
      <c r="I32" s="24">
        <f aca="true" t="shared" si="9" ref="I32:J35">C32+F32</f>
        <v>1464838</v>
      </c>
      <c r="J32" s="24">
        <f t="shared" si="9"/>
        <v>0</v>
      </c>
      <c r="K32" s="24">
        <f t="shared" si="8"/>
        <v>1464838</v>
      </c>
    </row>
    <row r="33" spans="1:11" s="62" customFormat="1" ht="15" customHeight="1">
      <c r="A33" s="61" t="s">
        <v>39</v>
      </c>
      <c r="B33" s="62" t="s">
        <v>47</v>
      </c>
      <c r="C33" s="63">
        <v>13200</v>
      </c>
      <c r="D33" s="63">
        <v>0</v>
      </c>
      <c r="E33" s="64">
        <f t="shared" si="5"/>
        <v>13200</v>
      </c>
      <c r="F33" s="65">
        <v>-2022</v>
      </c>
      <c r="G33" s="65">
        <v>0</v>
      </c>
      <c r="H33" s="64">
        <f t="shared" si="6"/>
        <v>-2022</v>
      </c>
      <c r="I33" s="64">
        <f t="shared" si="9"/>
        <v>11178</v>
      </c>
      <c r="J33" s="64">
        <f t="shared" si="9"/>
        <v>0</v>
      </c>
      <c r="K33" s="64">
        <f>E33+H33</f>
        <v>11178</v>
      </c>
    </row>
    <row r="34" spans="1:11" s="67" customFormat="1" ht="15" customHeight="1">
      <c r="A34" s="66" t="s">
        <v>38</v>
      </c>
      <c r="B34" s="67" t="s">
        <v>50</v>
      </c>
      <c r="C34" s="63">
        <v>60800</v>
      </c>
      <c r="D34" s="63">
        <v>0</v>
      </c>
      <c r="E34" s="64">
        <f t="shared" si="5"/>
        <v>60800</v>
      </c>
      <c r="F34" s="65">
        <v>5460</v>
      </c>
      <c r="G34" s="65">
        <v>0</v>
      </c>
      <c r="H34" s="64">
        <f t="shared" si="6"/>
        <v>5460</v>
      </c>
      <c r="I34" s="64">
        <f t="shared" si="9"/>
        <v>66260</v>
      </c>
      <c r="J34" s="64">
        <f t="shared" si="9"/>
        <v>0</v>
      </c>
      <c r="K34" s="64">
        <f t="shared" si="8"/>
        <v>66260</v>
      </c>
    </row>
    <row r="35" spans="1:11" s="44" customFormat="1" ht="15" customHeight="1">
      <c r="A35" s="40" t="s">
        <v>98</v>
      </c>
      <c r="B35" s="41" t="s">
        <v>99</v>
      </c>
      <c r="C35" s="42">
        <v>11071140</v>
      </c>
      <c r="D35" s="42">
        <v>0</v>
      </c>
      <c r="E35" s="43">
        <f t="shared" si="5"/>
        <v>11071140</v>
      </c>
      <c r="F35" s="42">
        <f>F38</f>
        <v>350000</v>
      </c>
      <c r="G35" s="42">
        <v>0</v>
      </c>
      <c r="H35" s="43">
        <f t="shared" si="6"/>
        <v>350000</v>
      </c>
      <c r="I35" s="43">
        <f t="shared" si="9"/>
        <v>11421140</v>
      </c>
      <c r="J35" s="43">
        <f t="shared" si="9"/>
        <v>0</v>
      </c>
      <c r="K35" s="43">
        <f t="shared" si="8"/>
        <v>11421140</v>
      </c>
    </row>
    <row r="36" spans="1:11" s="44" customFormat="1" ht="15" customHeight="1">
      <c r="A36" s="45"/>
      <c r="B36" s="46" t="s">
        <v>10</v>
      </c>
      <c r="C36" s="47"/>
      <c r="D36" s="47"/>
      <c r="E36" s="48"/>
      <c r="F36" s="47"/>
      <c r="G36" s="47"/>
      <c r="H36" s="48"/>
      <c r="I36" s="48"/>
      <c r="J36" s="48"/>
      <c r="K36" s="48"/>
    </row>
    <row r="37" spans="1:11" s="44" customFormat="1" ht="13.5" customHeight="1">
      <c r="A37" s="49"/>
      <c r="B37" s="11" t="s">
        <v>60</v>
      </c>
      <c r="C37" s="50">
        <v>6651000</v>
      </c>
      <c r="D37" s="50">
        <v>0</v>
      </c>
      <c r="E37" s="51">
        <f aca="true" t="shared" si="10" ref="E37:E42">SUM(C37:D37)</f>
        <v>6651000</v>
      </c>
      <c r="F37" s="50">
        <f>F41</f>
        <v>350000</v>
      </c>
      <c r="G37" s="50">
        <v>0</v>
      </c>
      <c r="H37" s="51">
        <f aca="true" t="shared" si="11" ref="H37:H42">F37+G37</f>
        <v>350000</v>
      </c>
      <c r="I37" s="51">
        <f>C37+F37</f>
        <v>7001000</v>
      </c>
      <c r="J37" s="51">
        <f>D37+G37</f>
        <v>0</v>
      </c>
      <c r="K37" s="51">
        <f>E37+H37</f>
        <v>7001000</v>
      </c>
    </row>
    <row r="38" spans="1:11" s="44" customFormat="1" ht="13.5" customHeight="1">
      <c r="A38" s="122">
        <v>70005</v>
      </c>
      <c r="B38" s="118" t="s">
        <v>100</v>
      </c>
      <c r="C38" s="54">
        <v>1491000</v>
      </c>
      <c r="D38" s="54">
        <v>0</v>
      </c>
      <c r="E38" s="55">
        <f t="shared" si="10"/>
        <v>1491000</v>
      </c>
      <c r="F38" s="54">
        <f>SUM(F39:F41)</f>
        <v>350000</v>
      </c>
      <c r="G38" s="54">
        <f>SUM(G41:G41)</f>
        <v>0</v>
      </c>
      <c r="H38" s="55">
        <f t="shared" si="11"/>
        <v>350000</v>
      </c>
      <c r="I38" s="55">
        <f aca="true" t="shared" si="12" ref="I38:K42">C38+F38</f>
        <v>1841000</v>
      </c>
      <c r="J38" s="55">
        <f t="shared" si="12"/>
        <v>0</v>
      </c>
      <c r="K38" s="55">
        <f t="shared" si="12"/>
        <v>1841000</v>
      </c>
    </row>
    <row r="39" spans="1:11" s="32" customFormat="1" ht="15" customHeight="1">
      <c r="A39" s="31" t="s">
        <v>34</v>
      </c>
      <c r="B39" s="32" t="s">
        <v>57</v>
      </c>
      <c r="C39" s="26">
        <v>0</v>
      </c>
      <c r="D39" s="26">
        <v>0</v>
      </c>
      <c r="E39" s="27">
        <f>SUM(C39:D39)</f>
        <v>0</v>
      </c>
      <c r="F39" s="33">
        <v>7000</v>
      </c>
      <c r="G39" s="33">
        <v>0</v>
      </c>
      <c r="H39" s="27">
        <f>F39+G39</f>
        <v>7000</v>
      </c>
      <c r="I39" s="27">
        <f t="shared" si="12"/>
        <v>7000</v>
      </c>
      <c r="J39" s="27">
        <f t="shared" si="12"/>
        <v>0</v>
      </c>
      <c r="K39" s="27">
        <f t="shared" si="12"/>
        <v>7000</v>
      </c>
    </row>
    <row r="40" spans="1:11" s="44" customFormat="1" ht="13.5" customHeight="1">
      <c r="A40" s="61" t="s">
        <v>36</v>
      </c>
      <c r="B40" s="62" t="s">
        <v>37</v>
      </c>
      <c r="C40" s="63">
        <v>270000</v>
      </c>
      <c r="D40" s="63">
        <v>0</v>
      </c>
      <c r="E40" s="64">
        <f>SUM(C40:D40)</f>
        <v>270000</v>
      </c>
      <c r="F40" s="65">
        <v>-7000</v>
      </c>
      <c r="G40" s="65">
        <v>0</v>
      </c>
      <c r="H40" s="64">
        <f>F40+G40</f>
        <v>-7000</v>
      </c>
      <c r="I40" s="64">
        <f>C40+F40</f>
        <v>263000</v>
      </c>
      <c r="J40" s="64">
        <f>D40+G40</f>
        <v>0</v>
      </c>
      <c r="K40" s="64">
        <f>E40+H40</f>
        <v>263000</v>
      </c>
    </row>
    <row r="41" spans="1:11" s="44" customFormat="1" ht="13.5" customHeight="1">
      <c r="A41" s="61" t="s">
        <v>108</v>
      </c>
      <c r="B41" s="62" t="s">
        <v>79</v>
      </c>
      <c r="C41" s="63">
        <v>671000</v>
      </c>
      <c r="D41" s="63">
        <v>0</v>
      </c>
      <c r="E41" s="64">
        <f t="shared" si="10"/>
        <v>671000</v>
      </c>
      <c r="F41" s="65">
        <v>350000</v>
      </c>
      <c r="G41" s="65">
        <v>0</v>
      </c>
      <c r="H41" s="64">
        <f t="shared" si="11"/>
        <v>350000</v>
      </c>
      <c r="I41" s="64">
        <f t="shared" si="12"/>
        <v>1021000</v>
      </c>
      <c r="J41" s="64">
        <f t="shared" si="12"/>
        <v>0</v>
      </c>
      <c r="K41" s="64">
        <f t="shared" si="12"/>
        <v>1021000</v>
      </c>
    </row>
    <row r="42" spans="1:11" s="36" customFormat="1" ht="15" customHeight="1">
      <c r="A42" s="3" t="s">
        <v>103</v>
      </c>
      <c r="B42" s="15" t="s">
        <v>104</v>
      </c>
      <c r="C42" s="16">
        <v>1764970</v>
      </c>
      <c r="D42" s="16">
        <v>0</v>
      </c>
      <c r="E42" s="6">
        <f t="shared" si="10"/>
        <v>1764970</v>
      </c>
      <c r="F42" s="16">
        <f>F45</f>
        <v>2000</v>
      </c>
      <c r="G42" s="16">
        <v>0</v>
      </c>
      <c r="H42" s="6">
        <f t="shared" si="11"/>
        <v>2000</v>
      </c>
      <c r="I42" s="6">
        <f t="shared" si="12"/>
        <v>1766970</v>
      </c>
      <c r="J42" s="6">
        <f t="shared" si="12"/>
        <v>0</v>
      </c>
      <c r="K42" s="6">
        <f t="shared" si="12"/>
        <v>1766970</v>
      </c>
    </row>
    <row r="43" spans="1:11" s="34" customFormat="1" ht="15" customHeight="1">
      <c r="A43" s="14"/>
      <c r="B43" s="17" t="s">
        <v>10</v>
      </c>
      <c r="C43" s="18"/>
      <c r="D43" s="18"/>
      <c r="E43" s="9"/>
      <c r="F43" s="18"/>
      <c r="G43" s="18"/>
      <c r="H43" s="9"/>
      <c r="I43" s="9"/>
      <c r="J43" s="9"/>
      <c r="K43" s="9"/>
    </row>
    <row r="44" spans="1:11" s="37" customFormat="1" ht="15" customHeight="1">
      <c r="A44" s="19"/>
      <c r="B44" s="11" t="s">
        <v>60</v>
      </c>
      <c r="C44" s="21">
        <v>126000</v>
      </c>
      <c r="D44" s="21">
        <v>0</v>
      </c>
      <c r="E44" s="12">
        <f>SUM(C44:D44)</f>
        <v>126000</v>
      </c>
      <c r="F44" s="21">
        <v>0</v>
      </c>
      <c r="G44" s="21">
        <v>0</v>
      </c>
      <c r="H44" s="12">
        <f>F44+G44</f>
        <v>0</v>
      </c>
      <c r="I44" s="12">
        <f aca="true" t="shared" si="13" ref="I44:K47">C44+F44</f>
        <v>126000</v>
      </c>
      <c r="J44" s="12">
        <f t="shared" si="13"/>
        <v>0</v>
      </c>
      <c r="K44" s="12">
        <f t="shared" si="13"/>
        <v>126000</v>
      </c>
    </row>
    <row r="45" spans="1:11" s="29" customFormat="1" ht="15" customHeight="1">
      <c r="A45" s="28">
        <v>71014</v>
      </c>
      <c r="B45" s="29" t="s">
        <v>105</v>
      </c>
      <c r="C45" s="23">
        <v>110600</v>
      </c>
      <c r="D45" s="23">
        <v>0</v>
      </c>
      <c r="E45" s="24">
        <f>SUM(C45:D45)</f>
        <v>110600</v>
      </c>
      <c r="F45" s="30">
        <f>SUM(F46:F46)</f>
        <v>2000</v>
      </c>
      <c r="G45" s="30">
        <v>0</v>
      </c>
      <c r="H45" s="24">
        <f>F45+G45</f>
        <v>2000</v>
      </c>
      <c r="I45" s="24">
        <f t="shared" si="13"/>
        <v>112600</v>
      </c>
      <c r="J45" s="24">
        <f t="shared" si="13"/>
        <v>0</v>
      </c>
      <c r="K45" s="24">
        <f t="shared" si="13"/>
        <v>112600</v>
      </c>
    </row>
    <row r="46" spans="1:11" s="32" customFormat="1" ht="15" customHeight="1">
      <c r="A46" s="31" t="s">
        <v>34</v>
      </c>
      <c r="B46" s="32" t="s">
        <v>57</v>
      </c>
      <c r="C46" s="26">
        <v>4000</v>
      </c>
      <c r="D46" s="26">
        <v>0</v>
      </c>
      <c r="E46" s="27">
        <f>SUM(C46:D46)</f>
        <v>4000</v>
      </c>
      <c r="F46" s="33">
        <v>2000</v>
      </c>
      <c r="G46" s="33">
        <v>0</v>
      </c>
      <c r="H46" s="27">
        <f>F46+G46</f>
        <v>2000</v>
      </c>
      <c r="I46" s="27">
        <f t="shared" si="13"/>
        <v>6000</v>
      </c>
      <c r="J46" s="27">
        <f t="shared" si="13"/>
        <v>0</v>
      </c>
      <c r="K46" s="27">
        <f t="shared" si="13"/>
        <v>6000</v>
      </c>
    </row>
    <row r="47" spans="1:11" s="7" customFormat="1" ht="15" customHeight="1">
      <c r="A47" s="3" t="s">
        <v>118</v>
      </c>
      <c r="B47" s="15" t="s">
        <v>119</v>
      </c>
      <c r="C47" s="16">
        <v>16542407</v>
      </c>
      <c r="D47" s="16">
        <v>454557</v>
      </c>
      <c r="E47" s="6">
        <f>SUM(C47:D47)</f>
        <v>16996964</v>
      </c>
      <c r="F47" s="16">
        <f>F50+F57</f>
        <v>52300</v>
      </c>
      <c r="G47" s="16">
        <f>G50</f>
        <v>0</v>
      </c>
      <c r="H47" s="6">
        <f>F47+G47</f>
        <v>52300</v>
      </c>
      <c r="I47" s="6">
        <f t="shared" si="13"/>
        <v>16594707</v>
      </c>
      <c r="J47" s="6">
        <f t="shared" si="13"/>
        <v>454557</v>
      </c>
      <c r="K47" s="6">
        <f t="shared" si="13"/>
        <v>17049264</v>
      </c>
    </row>
    <row r="48" spans="1:11" s="10" customFormat="1" ht="15" customHeight="1">
      <c r="A48" s="14"/>
      <c r="B48" s="17" t="s">
        <v>10</v>
      </c>
      <c r="C48" s="18"/>
      <c r="D48" s="18"/>
      <c r="E48" s="9"/>
      <c r="F48" s="18"/>
      <c r="G48" s="18"/>
      <c r="H48" s="9"/>
      <c r="I48" s="9"/>
      <c r="J48" s="9"/>
      <c r="K48" s="9"/>
    </row>
    <row r="49" spans="1:11" s="13" customFormat="1" ht="15" customHeight="1">
      <c r="A49" s="19"/>
      <c r="B49" s="20" t="s">
        <v>11</v>
      </c>
      <c r="C49" s="21">
        <v>1614000</v>
      </c>
      <c r="D49" s="21">
        <v>0</v>
      </c>
      <c r="E49" s="12">
        <f aca="true" t="shared" si="14" ref="E49:E58">SUM(C49:D49)</f>
        <v>1614000</v>
      </c>
      <c r="F49" s="21">
        <f>F55+F56</f>
        <v>17000</v>
      </c>
      <c r="G49" s="21">
        <v>0</v>
      </c>
      <c r="H49" s="12">
        <f aca="true" t="shared" si="15" ref="H49:H58">F49+G49</f>
        <v>17000</v>
      </c>
      <c r="I49" s="12">
        <f aca="true" t="shared" si="16" ref="I49:K56">C49+F49</f>
        <v>1631000</v>
      </c>
      <c r="J49" s="12">
        <f t="shared" si="16"/>
        <v>0</v>
      </c>
      <c r="K49" s="12">
        <f t="shared" si="16"/>
        <v>1631000</v>
      </c>
    </row>
    <row r="50" spans="1:11" s="29" customFormat="1" ht="15" customHeight="1">
      <c r="A50" s="28">
        <v>75023</v>
      </c>
      <c r="B50" s="29" t="s">
        <v>120</v>
      </c>
      <c r="C50" s="23">
        <v>15734361</v>
      </c>
      <c r="D50" s="23">
        <v>0</v>
      </c>
      <c r="E50" s="24">
        <f t="shared" si="14"/>
        <v>15734361</v>
      </c>
      <c r="F50" s="30">
        <f>SUM(F51:F56)</f>
        <v>47200</v>
      </c>
      <c r="G50" s="30">
        <v>0</v>
      </c>
      <c r="H50" s="24">
        <f t="shared" si="15"/>
        <v>47200</v>
      </c>
      <c r="I50" s="24">
        <f t="shared" si="16"/>
        <v>15781561</v>
      </c>
      <c r="J50" s="24">
        <f t="shared" si="16"/>
        <v>0</v>
      </c>
      <c r="K50" s="24">
        <f t="shared" si="16"/>
        <v>15781561</v>
      </c>
    </row>
    <row r="51" spans="1:11" s="67" customFormat="1" ht="15" customHeight="1">
      <c r="A51" s="66" t="s">
        <v>84</v>
      </c>
      <c r="B51" s="120" t="s">
        <v>85</v>
      </c>
      <c r="C51" s="63">
        <v>15150</v>
      </c>
      <c r="D51" s="63">
        <v>0</v>
      </c>
      <c r="E51" s="64">
        <f t="shared" si="14"/>
        <v>15150</v>
      </c>
      <c r="F51" s="63">
        <v>3772</v>
      </c>
      <c r="G51" s="63">
        <v>0</v>
      </c>
      <c r="H51" s="64">
        <f t="shared" si="15"/>
        <v>3772</v>
      </c>
      <c r="I51" s="64">
        <f t="shared" si="16"/>
        <v>18922</v>
      </c>
      <c r="J51" s="64">
        <f t="shared" si="16"/>
        <v>0</v>
      </c>
      <c r="K51" s="64">
        <f t="shared" si="16"/>
        <v>18922</v>
      </c>
    </row>
    <row r="52" spans="1:11" s="67" customFormat="1" ht="13.5" customHeight="1">
      <c r="A52" s="61" t="s">
        <v>31</v>
      </c>
      <c r="B52" s="62" t="s">
        <v>40</v>
      </c>
      <c r="C52" s="65">
        <v>1595182</v>
      </c>
      <c r="D52" s="65">
        <v>0</v>
      </c>
      <c r="E52" s="64">
        <f t="shared" si="14"/>
        <v>1595182</v>
      </c>
      <c r="F52" s="65">
        <f>-3772+1450</f>
        <v>-2322</v>
      </c>
      <c r="G52" s="65">
        <v>0</v>
      </c>
      <c r="H52" s="64">
        <f t="shared" si="15"/>
        <v>-2322</v>
      </c>
      <c r="I52" s="64">
        <f t="shared" si="16"/>
        <v>1592860</v>
      </c>
      <c r="J52" s="64">
        <f t="shared" si="16"/>
        <v>0</v>
      </c>
      <c r="K52" s="64">
        <f t="shared" si="16"/>
        <v>1592860</v>
      </c>
    </row>
    <row r="53" spans="1:11" s="10" customFormat="1" ht="15" customHeight="1">
      <c r="A53" s="25" t="s">
        <v>32</v>
      </c>
      <c r="B53" s="10" t="s">
        <v>33</v>
      </c>
      <c r="C53" s="26">
        <v>242720</v>
      </c>
      <c r="D53" s="26">
        <v>0</v>
      </c>
      <c r="E53" s="27">
        <f>SUM(C53:D53)</f>
        <v>242720</v>
      </c>
      <c r="F53" s="26">
        <v>250</v>
      </c>
      <c r="G53" s="26">
        <v>0</v>
      </c>
      <c r="H53" s="27">
        <f>F53+G53</f>
        <v>250</v>
      </c>
      <c r="I53" s="27">
        <f t="shared" si="16"/>
        <v>242970</v>
      </c>
      <c r="J53" s="27">
        <f t="shared" si="16"/>
        <v>0</v>
      </c>
      <c r="K53" s="27">
        <f t="shared" si="16"/>
        <v>242970</v>
      </c>
    </row>
    <row r="54" spans="1:11" s="67" customFormat="1" ht="15" customHeight="1">
      <c r="A54" s="66" t="s">
        <v>34</v>
      </c>
      <c r="B54" s="67" t="s">
        <v>35</v>
      </c>
      <c r="C54" s="63">
        <v>40300</v>
      </c>
      <c r="D54" s="63">
        <v>0</v>
      </c>
      <c r="E54" s="64">
        <f t="shared" si="14"/>
        <v>40300</v>
      </c>
      <c r="F54" s="63">
        <f>13200+15300</f>
        <v>28500</v>
      </c>
      <c r="G54" s="63">
        <v>0</v>
      </c>
      <c r="H54" s="64">
        <f t="shared" si="15"/>
        <v>28500</v>
      </c>
      <c r="I54" s="64">
        <f>C54+F54</f>
        <v>68800</v>
      </c>
      <c r="J54" s="64">
        <f>D54+G54</f>
        <v>0</v>
      </c>
      <c r="K54" s="64">
        <f>E54+H54</f>
        <v>68800</v>
      </c>
    </row>
    <row r="55" spans="1:11" s="32" customFormat="1" ht="15" customHeight="1">
      <c r="A55" s="31" t="s">
        <v>78</v>
      </c>
      <c r="B55" s="32" t="s">
        <v>79</v>
      </c>
      <c r="C55" s="26">
        <v>1270000</v>
      </c>
      <c r="D55" s="26">
        <v>0</v>
      </c>
      <c r="E55" s="27">
        <f t="shared" si="14"/>
        <v>1270000</v>
      </c>
      <c r="F55" s="33">
        <v>10000</v>
      </c>
      <c r="G55" s="33">
        <v>0</v>
      </c>
      <c r="H55" s="27">
        <f t="shared" si="15"/>
        <v>10000</v>
      </c>
      <c r="I55" s="27">
        <f t="shared" si="16"/>
        <v>1280000</v>
      </c>
      <c r="J55" s="27">
        <f t="shared" si="16"/>
        <v>0</v>
      </c>
      <c r="K55" s="27">
        <f t="shared" si="16"/>
        <v>1280000</v>
      </c>
    </row>
    <row r="56" spans="1:11" s="32" customFormat="1" ht="15" customHeight="1">
      <c r="A56" s="31" t="s">
        <v>108</v>
      </c>
      <c r="B56" s="32" t="s">
        <v>110</v>
      </c>
      <c r="C56" s="26">
        <v>344000</v>
      </c>
      <c r="D56" s="26">
        <v>0</v>
      </c>
      <c r="E56" s="27">
        <f t="shared" si="14"/>
        <v>344000</v>
      </c>
      <c r="F56" s="33">
        <v>7000</v>
      </c>
      <c r="G56" s="33">
        <v>0</v>
      </c>
      <c r="H56" s="27">
        <f t="shared" si="15"/>
        <v>7000</v>
      </c>
      <c r="I56" s="27">
        <f t="shared" si="16"/>
        <v>351000</v>
      </c>
      <c r="J56" s="27">
        <f t="shared" si="16"/>
        <v>0</v>
      </c>
      <c r="K56" s="27">
        <f t="shared" si="16"/>
        <v>351000</v>
      </c>
    </row>
    <row r="57" spans="1:11" s="29" customFormat="1" ht="15" customHeight="1">
      <c r="A57" s="28">
        <v>75095</v>
      </c>
      <c r="B57" s="29" t="s">
        <v>23</v>
      </c>
      <c r="C57" s="23">
        <v>118246</v>
      </c>
      <c r="D57" s="23">
        <v>0</v>
      </c>
      <c r="E57" s="24">
        <f t="shared" si="14"/>
        <v>118246</v>
      </c>
      <c r="F57" s="30">
        <f>SUM(F58:F58)</f>
        <v>5100</v>
      </c>
      <c r="G57" s="30">
        <v>0</v>
      </c>
      <c r="H57" s="24">
        <f t="shared" si="15"/>
        <v>5100</v>
      </c>
      <c r="I57" s="24">
        <f aca="true" t="shared" si="17" ref="I57:K58">C57+F57</f>
        <v>123346</v>
      </c>
      <c r="J57" s="24">
        <f t="shared" si="17"/>
        <v>0</v>
      </c>
      <c r="K57" s="24">
        <f t="shared" si="17"/>
        <v>123346</v>
      </c>
    </row>
    <row r="58" spans="1:11" s="67" customFormat="1" ht="15" customHeight="1">
      <c r="A58" s="66" t="s">
        <v>36</v>
      </c>
      <c r="B58" s="120" t="s">
        <v>37</v>
      </c>
      <c r="C58" s="63">
        <v>35600</v>
      </c>
      <c r="D58" s="63">
        <v>0</v>
      </c>
      <c r="E58" s="64">
        <f t="shared" si="14"/>
        <v>35600</v>
      </c>
      <c r="F58" s="63">
        <v>5100</v>
      </c>
      <c r="G58" s="63">
        <v>0</v>
      </c>
      <c r="H58" s="64">
        <f t="shared" si="15"/>
        <v>5100</v>
      </c>
      <c r="I58" s="64">
        <f t="shared" si="17"/>
        <v>40700</v>
      </c>
      <c r="J58" s="64">
        <f t="shared" si="17"/>
        <v>0</v>
      </c>
      <c r="K58" s="64">
        <f t="shared" si="17"/>
        <v>40700</v>
      </c>
    </row>
    <row r="59" spans="1:11" s="36" customFormat="1" ht="15" customHeight="1">
      <c r="A59" s="3" t="s">
        <v>114</v>
      </c>
      <c r="B59" s="15" t="s">
        <v>115</v>
      </c>
      <c r="C59" s="16">
        <v>2478043</v>
      </c>
      <c r="D59" s="16">
        <v>3230</v>
      </c>
      <c r="E59" s="6">
        <f>SUM(C59:D59)</f>
        <v>2481273</v>
      </c>
      <c r="F59" s="16">
        <f>F62</f>
        <v>0</v>
      </c>
      <c r="G59" s="16">
        <v>0</v>
      </c>
      <c r="H59" s="6">
        <f>F59+G59</f>
        <v>0</v>
      </c>
      <c r="I59" s="6">
        <f>C59+F59</f>
        <v>2478043</v>
      </c>
      <c r="J59" s="6">
        <f>D59+G59</f>
        <v>3230</v>
      </c>
      <c r="K59" s="6">
        <f>E59+H59</f>
        <v>2481273</v>
      </c>
    </row>
    <row r="60" spans="1:11" s="34" customFormat="1" ht="15" customHeight="1">
      <c r="A60" s="14"/>
      <c r="B60" s="17" t="s">
        <v>10</v>
      </c>
      <c r="C60" s="18"/>
      <c r="D60" s="18"/>
      <c r="E60" s="9"/>
      <c r="F60" s="18"/>
      <c r="G60" s="18"/>
      <c r="H60" s="9"/>
      <c r="I60" s="9"/>
      <c r="J60" s="9"/>
      <c r="K60" s="9"/>
    </row>
    <row r="61" spans="1:11" s="37" customFormat="1" ht="15" customHeight="1">
      <c r="A61" s="19"/>
      <c r="B61" s="11" t="s">
        <v>60</v>
      </c>
      <c r="C61" s="21">
        <v>454500</v>
      </c>
      <c r="D61" s="21">
        <v>0</v>
      </c>
      <c r="E61" s="12">
        <f>SUM(C61:D61)</f>
        <v>454500</v>
      </c>
      <c r="F61" s="21">
        <v>0</v>
      </c>
      <c r="G61" s="21">
        <v>0</v>
      </c>
      <c r="H61" s="12">
        <f>F61+G61</f>
        <v>0</v>
      </c>
      <c r="I61" s="12">
        <f aca="true" t="shared" si="18" ref="I61:K64">C61+F61</f>
        <v>454500</v>
      </c>
      <c r="J61" s="12">
        <f t="shared" si="18"/>
        <v>0</v>
      </c>
      <c r="K61" s="12">
        <f t="shared" si="18"/>
        <v>454500</v>
      </c>
    </row>
    <row r="62" spans="1:11" s="29" customFormat="1" ht="15" customHeight="1">
      <c r="A62" s="28">
        <v>75495</v>
      </c>
      <c r="B62" s="29" t="s">
        <v>23</v>
      </c>
      <c r="C62" s="23">
        <v>673923</v>
      </c>
      <c r="D62" s="23">
        <v>0</v>
      </c>
      <c r="E62" s="24">
        <f>SUM(C62:D62)</f>
        <v>673923</v>
      </c>
      <c r="F62" s="30">
        <f>SUM(F63:F64)</f>
        <v>0</v>
      </c>
      <c r="G62" s="30">
        <v>0</v>
      </c>
      <c r="H62" s="24">
        <f>F62+G62</f>
        <v>0</v>
      </c>
      <c r="I62" s="24">
        <f t="shared" si="18"/>
        <v>673923</v>
      </c>
      <c r="J62" s="24">
        <f t="shared" si="18"/>
        <v>0</v>
      </c>
      <c r="K62" s="24">
        <f t="shared" si="18"/>
        <v>673923</v>
      </c>
    </row>
    <row r="63" spans="1:11" s="88" customFormat="1" ht="14.25" customHeight="1">
      <c r="A63" s="87" t="s">
        <v>116</v>
      </c>
      <c r="B63" s="88" t="s">
        <v>117</v>
      </c>
      <c r="C63" s="89">
        <v>26000</v>
      </c>
      <c r="D63" s="89">
        <v>0</v>
      </c>
      <c r="E63" s="27">
        <f>SUM(C63:D63)</f>
        <v>26000</v>
      </c>
      <c r="F63" s="90">
        <v>-1000</v>
      </c>
      <c r="G63" s="90">
        <v>0</v>
      </c>
      <c r="H63" s="27">
        <f>F63+G63</f>
        <v>-1000</v>
      </c>
      <c r="I63" s="27">
        <f t="shared" si="18"/>
        <v>25000</v>
      </c>
      <c r="J63" s="27">
        <f t="shared" si="18"/>
        <v>0</v>
      </c>
      <c r="K63" s="27">
        <f t="shared" si="18"/>
        <v>25000</v>
      </c>
    </row>
    <row r="64" spans="1:11" s="32" customFormat="1" ht="15" customHeight="1">
      <c r="A64" s="31" t="s">
        <v>36</v>
      </c>
      <c r="B64" s="32" t="s">
        <v>37</v>
      </c>
      <c r="C64" s="26">
        <v>224673</v>
      </c>
      <c r="D64" s="26">
        <v>0</v>
      </c>
      <c r="E64" s="27">
        <f>SUM(C64:D64)</f>
        <v>224673</v>
      </c>
      <c r="F64" s="33">
        <v>1000</v>
      </c>
      <c r="G64" s="33">
        <v>0</v>
      </c>
      <c r="H64" s="27">
        <f>F64+G64</f>
        <v>1000</v>
      </c>
      <c r="I64" s="27">
        <f t="shared" si="18"/>
        <v>225673</v>
      </c>
      <c r="J64" s="27">
        <f t="shared" si="18"/>
        <v>0</v>
      </c>
      <c r="K64" s="27">
        <f t="shared" si="18"/>
        <v>225673</v>
      </c>
    </row>
    <row r="65" spans="1:11" s="36" customFormat="1" ht="15" customHeight="1">
      <c r="A65" s="3" t="s">
        <v>18</v>
      </c>
      <c r="B65" s="15" t="s">
        <v>21</v>
      </c>
      <c r="C65" s="16">
        <v>1816692</v>
      </c>
      <c r="D65" s="16">
        <v>0</v>
      </c>
      <c r="E65" s="6">
        <f>SUM(C65:D65)</f>
        <v>1816692</v>
      </c>
      <c r="F65" s="16">
        <f>F72+F68</f>
        <v>65082</v>
      </c>
      <c r="G65" s="16">
        <v>0</v>
      </c>
      <c r="H65" s="6">
        <f>F65+G65</f>
        <v>65082</v>
      </c>
      <c r="I65" s="6">
        <f>C65+F65</f>
        <v>1881774</v>
      </c>
      <c r="J65" s="6">
        <f>D65+G65</f>
        <v>0</v>
      </c>
      <c r="K65" s="6">
        <f>E65+H65</f>
        <v>1881774</v>
      </c>
    </row>
    <row r="66" spans="1:11" s="34" customFormat="1" ht="12.75" customHeight="1">
      <c r="A66" s="14"/>
      <c r="B66" s="17" t="s">
        <v>10</v>
      </c>
      <c r="C66" s="18"/>
      <c r="D66" s="18"/>
      <c r="E66" s="9"/>
      <c r="F66" s="18"/>
      <c r="G66" s="18"/>
      <c r="H66" s="9"/>
      <c r="I66" s="9"/>
      <c r="J66" s="9"/>
      <c r="K66" s="9"/>
    </row>
    <row r="67" spans="1:11" s="37" customFormat="1" ht="15" customHeight="1">
      <c r="A67" s="19"/>
      <c r="B67" s="11" t="s">
        <v>60</v>
      </c>
      <c r="C67" s="21">
        <v>14856</v>
      </c>
      <c r="D67" s="21">
        <v>0</v>
      </c>
      <c r="E67" s="12">
        <f aca="true" t="shared" si="19" ref="E67:E75">SUM(C67:D67)</f>
        <v>14856</v>
      </c>
      <c r="F67" s="21">
        <f>F74</f>
        <v>104082</v>
      </c>
      <c r="G67" s="21">
        <v>0</v>
      </c>
      <c r="H67" s="12">
        <f>F67+G67</f>
        <v>104082</v>
      </c>
      <c r="I67" s="12">
        <f aca="true" t="shared" si="20" ref="I67:K75">C67+F67</f>
        <v>118938</v>
      </c>
      <c r="J67" s="12">
        <f t="shared" si="20"/>
        <v>0</v>
      </c>
      <c r="K67" s="12">
        <f t="shared" si="20"/>
        <v>118938</v>
      </c>
    </row>
    <row r="68" spans="1:11" s="29" customFormat="1" ht="14.25" customHeight="1">
      <c r="A68" s="28">
        <v>75814</v>
      </c>
      <c r="B68" s="29" t="s">
        <v>21</v>
      </c>
      <c r="C68" s="23">
        <v>55000</v>
      </c>
      <c r="D68" s="23">
        <v>0</v>
      </c>
      <c r="E68" s="24">
        <f t="shared" si="19"/>
        <v>55000</v>
      </c>
      <c r="F68" s="30">
        <f>SUM(F69:F71)</f>
        <v>13000</v>
      </c>
      <c r="G68" s="30">
        <v>0</v>
      </c>
      <c r="H68" s="24">
        <f>F68+G68</f>
        <v>13000</v>
      </c>
      <c r="I68" s="24">
        <f t="shared" si="20"/>
        <v>68000</v>
      </c>
      <c r="J68" s="24">
        <f t="shared" si="20"/>
        <v>0</v>
      </c>
      <c r="K68" s="24">
        <f t="shared" si="20"/>
        <v>68000</v>
      </c>
    </row>
    <row r="69" spans="1:11" s="67" customFormat="1" ht="13.5" customHeight="1">
      <c r="A69" s="61" t="s">
        <v>31</v>
      </c>
      <c r="B69" s="62" t="s">
        <v>40</v>
      </c>
      <c r="C69" s="65">
        <v>0</v>
      </c>
      <c r="D69" s="65">
        <v>0</v>
      </c>
      <c r="E69" s="64">
        <f t="shared" si="19"/>
        <v>0</v>
      </c>
      <c r="F69" s="65">
        <v>266</v>
      </c>
      <c r="G69" s="65">
        <v>0</v>
      </c>
      <c r="H69" s="64">
        <f>F69+G69</f>
        <v>266</v>
      </c>
      <c r="I69" s="64">
        <f t="shared" si="20"/>
        <v>266</v>
      </c>
      <c r="J69" s="64">
        <f t="shared" si="20"/>
        <v>0</v>
      </c>
      <c r="K69" s="64">
        <f t="shared" si="20"/>
        <v>266</v>
      </c>
    </row>
    <row r="70" spans="1:11" s="10" customFormat="1" ht="15" customHeight="1">
      <c r="A70" s="25" t="s">
        <v>32</v>
      </c>
      <c r="B70" s="10" t="s">
        <v>33</v>
      </c>
      <c r="C70" s="26">
        <v>0</v>
      </c>
      <c r="D70" s="26">
        <v>0</v>
      </c>
      <c r="E70" s="27">
        <f t="shared" si="19"/>
        <v>0</v>
      </c>
      <c r="F70" s="26">
        <v>1868</v>
      </c>
      <c r="G70" s="26">
        <v>0</v>
      </c>
      <c r="H70" s="27">
        <f>F70+G70</f>
        <v>1868</v>
      </c>
      <c r="I70" s="27">
        <f t="shared" si="20"/>
        <v>1868</v>
      </c>
      <c r="J70" s="27">
        <f t="shared" si="20"/>
        <v>0</v>
      </c>
      <c r="K70" s="27">
        <f t="shared" si="20"/>
        <v>1868</v>
      </c>
    </row>
    <row r="71" spans="1:11" s="116" customFormat="1" ht="15" customHeight="1">
      <c r="A71" s="113" t="s">
        <v>34</v>
      </c>
      <c r="B71" s="114" t="s">
        <v>35</v>
      </c>
      <c r="C71" s="115">
        <v>0</v>
      </c>
      <c r="D71" s="115">
        <v>0</v>
      </c>
      <c r="E71" s="64">
        <f t="shared" si="19"/>
        <v>0</v>
      </c>
      <c r="F71" s="115">
        <v>10866</v>
      </c>
      <c r="G71" s="115">
        <v>0</v>
      </c>
      <c r="H71" s="64">
        <f>SUM(F71:G71)</f>
        <v>10866</v>
      </c>
      <c r="I71" s="64">
        <f t="shared" si="20"/>
        <v>10866</v>
      </c>
      <c r="J71" s="64">
        <f t="shared" si="20"/>
        <v>0</v>
      </c>
      <c r="K71" s="64">
        <f t="shared" si="20"/>
        <v>10866</v>
      </c>
    </row>
    <row r="72" spans="1:11" s="29" customFormat="1" ht="15" customHeight="1">
      <c r="A72" s="28">
        <v>75818</v>
      </c>
      <c r="B72" s="29" t="s">
        <v>19</v>
      </c>
      <c r="C72" s="23">
        <v>1761692</v>
      </c>
      <c r="D72" s="23">
        <v>0</v>
      </c>
      <c r="E72" s="24">
        <f t="shared" si="19"/>
        <v>1761692</v>
      </c>
      <c r="F72" s="30">
        <f>SUM(F73:F74)</f>
        <v>52082</v>
      </c>
      <c r="G72" s="30">
        <v>0</v>
      </c>
      <c r="H72" s="24">
        <f>F72+G72</f>
        <v>52082</v>
      </c>
      <c r="I72" s="24">
        <f t="shared" si="20"/>
        <v>1813774</v>
      </c>
      <c r="J72" s="24">
        <f t="shared" si="20"/>
        <v>0</v>
      </c>
      <c r="K72" s="24">
        <f t="shared" si="20"/>
        <v>1813774</v>
      </c>
    </row>
    <row r="73" spans="1:11" s="32" customFormat="1" ht="15" customHeight="1">
      <c r="A73" s="31" t="s">
        <v>20</v>
      </c>
      <c r="B73" s="32" t="s">
        <v>113</v>
      </c>
      <c r="C73" s="26">
        <v>112000</v>
      </c>
      <c r="D73" s="26">
        <v>0</v>
      </c>
      <c r="E73" s="27">
        <f t="shared" si="19"/>
        <v>112000</v>
      </c>
      <c r="F73" s="33">
        <v>-52000</v>
      </c>
      <c r="G73" s="33">
        <v>0</v>
      </c>
      <c r="H73" s="27">
        <f>F73+G73</f>
        <v>-52000</v>
      </c>
      <c r="I73" s="27">
        <f>C73+F73</f>
        <v>60000</v>
      </c>
      <c r="J73" s="27">
        <f>D73+G73</f>
        <v>0</v>
      </c>
      <c r="K73" s="27">
        <f>E73+H73</f>
        <v>60000</v>
      </c>
    </row>
    <row r="74" spans="1:11" s="88" customFormat="1" ht="14.25" customHeight="1">
      <c r="A74" s="87" t="s">
        <v>111</v>
      </c>
      <c r="B74" s="88" t="s">
        <v>112</v>
      </c>
      <c r="C74" s="89">
        <v>14856</v>
      </c>
      <c r="D74" s="89">
        <v>0</v>
      </c>
      <c r="E74" s="27">
        <f t="shared" si="19"/>
        <v>14856</v>
      </c>
      <c r="F74" s="90">
        <v>104082</v>
      </c>
      <c r="G74" s="90">
        <v>0</v>
      </c>
      <c r="H74" s="27">
        <f>F74+G74</f>
        <v>104082</v>
      </c>
      <c r="I74" s="27">
        <f t="shared" si="20"/>
        <v>118938</v>
      </c>
      <c r="J74" s="27">
        <f t="shared" si="20"/>
        <v>0</v>
      </c>
      <c r="K74" s="27">
        <f t="shared" si="20"/>
        <v>118938</v>
      </c>
    </row>
    <row r="75" spans="1:11" s="36" customFormat="1" ht="15" customHeight="1">
      <c r="A75" s="3" t="s">
        <v>43</v>
      </c>
      <c r="B75" s="15" t="s">
        <v>44</v>
      </c>
      <c r="C75" s="16">
        <v>45463559</v>
      </c>
      <c r="D75" s="16">
        <v>70000</v>
      </c>
      <c r="E75" s="6">
        <f t="shared" si="19"/>
        <v>45533559</v>
      </c>
      <c r="F75" s="16">
        <f>F78+F87+F91+F98+F107+F109</f>
        <v>-235669</v>
      </c>
      <c r="G75" s="16">
        <f>G78+G87+G91+G98+G107+G109</f>
        <v>104826</v>
      </c>
      <c r="H75" s="6">
        <f>F75+G75</f>
        <v>-130843</v>
      </c>
      <c r="I75" s="6">
        <f t="shared" si="20"/>
        <v>45227890</v>
      </c>
      <c r="J75" s="6">
        <f t="shared" si="20"/>
        <v>174826</v>
      </c>
      <c r="K75" s="6">
        <f t="shared" si="20"/>
        <v>45402716</v>
      </c>
    </row>
    <row r="76" spans="1:11" s="34" customFormat="1" ht="15" customHeight="1">
      <c r="A76" s="14"/>
      <c r="B76" s="17" t="s">
        <v>10</v>
      </c>
      <c r="C76" s="18"/>
      <c r="D76" s="18"/>
      <c r="E76" s="9"/>
      <c r="F76" s="18"/>
      <c r="G76" s="18"/>
      <c r="H76" s="9"/>
      <c r="I76" s="9"/>
      <c r="J76" s="9"/>
      <c r="K76" s="9"/>
    </row>
    <row r="77" spans="1:11" s="37" customFormat="1" ht="15" customHeight="1">
      <c r="A77" s="19"/>
      <c r="B77" s="11" t="s">
        <v>60</v>
      </c>
      <c r="C77" s="21">
        <v>3690100</v>
      </c>
      <c r="D77" s="21">
        <v>0</v>
      </c>
      <c r="E77" s="12">
        <f>SUM(C77:D77)</f>
        <v>3690100</v>
      </c>
      <c r="F77" s="21">
        <f>F86+F105+F106</f>
        <v>-204700</v>
      </c>
      <c r="G77" s="21">
        <v>0</v>
      </c>
      <c r="H77" s="12">
        <f>F77+G77</f>
        <v>-204700</v>
      </c>
      <c r="I77" s="12">
        <f>C77+F77</f>
        <v>3485400</v>
      </c>
      <c r="J77" s="12">
        <f>D77+G77</f>
        <v>0</v>
      </c>
      <c r="K77" s="12">
        <f>E77+H77</f>
        <v>3485400</v>
      </c>
    </row>
    <row r="78" spans="1:11" s="29" customFormat="1" ht="14.25" customHeight="1">
      <c r="A78" s="28">
        <v>80101</v>
      </c>
      <c r="B78" s="29" t="s">
        <v>67</v>
      </c>
      <c r="C78" s="23">
        <v>19120546</v>
      </c>
      <c r="D78" s="23">
        <v>0</v>
      </c>
      <c r="E78" s="24">
        <f aca="true" t="shared" si="21" ref="E78:E106">SUM(C78:D78)</f>
        <v>19120546</v>
      </c>
      <c r="F78" s="30">
        <f>SUM(F79:F86)</f>
        <v>-211500</v>
      </c>
      <c r="G78" s="30">
        <v>0</v>
      </c>
      <c r="H78" s="24">
        <f>F78+G78</f>
        <v>-211500</v>
      </c>
      <c r="I78" s="24">
        <f aca="true" t="shared" si="22" ref="I78:K91">C78+F78</f>
        <v>18909046</v>
      </c>
      <c r="J78" s="24">
        <f t="shared" si="22"/>
        <v>0</v>
      </c>
      <c r="K78" s="24">
        <f t="shared" si="22"/>
        <v>18909046</v>
      </c>
    </row>
    <row r="79" spans="1:11" s="62" customFormat="1" ht="13.5" customHeight="1">
      <c r="A79" s="61" t="s">
        <v>45</v>
      </c>
      <c r="B79" s="62" t="s">
        <v>46</v>
      </c>
      <c r="C79" s="63">
        <v>11170595</v>
      </c>
      <c r="D79" s="63">
        <v>0</v>
      </c>
      <c r="E79" s="64">
        <f t="shared" si="21"/>
        <v>11170595</v>
      </c>
      <c r="F79" s="65">
        <f>-578+259+590</f>
        <v>271</v>
      </c>
      <c r="G79" s="65">
        <v>0</v>
      </c>
      <c r="H79" s="64">
        <f>F79+G79</f>
        <v>271</v>
      </c>
      <c r="I79" s="64">
        <f t="shared" si="22"/>
        <v>11170866</v>
      </c>
      <c r="J79" s="64">
        <f t="shared" si="22"/>
        <v>0</v>
      </c>
      <c r="K79" s="64">
        <f t="shared" si="22"/>
        <v>11170866</v>
      </c>
    </row>
    <row r="80" spans="1:11" s="62" customFormat="1" ht="13.5" customHeight="1">
      <c r="A80" s="61" t="s">
        <v>39</v>
      </c>
      <c r="B80" s="62" t="s">
        <v>68</v>
      </c>
      <c r="C80" s="63">
        <v>866993</v>
      </c>
      <c r="D80" s="63">
        <v>0</v>
      </c>
      <c r="E80" s="64">
        <f t="shared" si="21"/>
        <v>866993</v>
      </c>
      <c r="F80" s="65">
        <f>-259-590</f>
        <v>-849</v>
      </c>
      <c r="G80" s="65">
        <v>0</v>
      </c>
      <c r="H80" s="64">
        <f>F80+G80</f>
        <v>-849</v>
      </c>
      <c r="I80" s="64">
        <f t="shared" si="22"/>
        <v>866144</v>
      </c>
      <c r="J80" s="64">
        <f t="shared" si="22"/>
        <v>0</v>
      </c>
      <c r="K80" s="64">
        <f t="shared" si="22"/>
        <v>866144</v>
      </c>
    </row>
    <row r="81" spans="1:11" s="116" customFormat="1" ht="15" customHeight="1">
      <c r="A81" s="113" t="s">
        <v>34</v>
      </c>
      <c r="B81" s="114" t="s">
        <v>35</v>
      </c>
      <c r="C81" s="115">
        <v>13697</v>
      </c>
      <c r="D81" s="115">
        <v>0</v>
      </c>
      <c r="E81" s="64">
        <f>SUM(C81:D81)</f>
        <v>13697</v>
      </c>
      <c r="F81" s="115">
        <v>578</v>
      </c>
      <c r="G81" s="115">
        <v>0</v>
      </c>
      <c r="H81" s="64">
        <f>SUM(F81:G81)</f>
        <v>578</v>
      </c>
      <c r="I81" s="64">
        <f t="shared" si="22"/>
        <v>14275</v>
      </c>
      <c r="J81" s="64">
        <f t="shared" si="22"/>
        <v>0</v>
      </c>
      <c r="K81" s="64">
        <f t="shared" si="22"/>
        <v>14275</v>
      </c>
    </row>
    <row r="82" spans="1:11" s="67" customFormat="1" ht="13.5" customHeight="1">
      <c r="A82" s="61" t="s">
        <v>24</v>
      </c>
      <c r="B82" s="62" t="s">
        <v>25</v>
      </c>
      <c r="C82" s="65">
        <v>355742</v>
      </c>
      <c r="D82" s="65">
        <v>0</v>
      </c>
      <c r="E82" s="64">
        <f t="shared" si="21"/>
        <v>355742</v>
      </c>
      <c r="F82" s="65">
        <f>500+10000</f>
        <v>10500</v>
      </c>
      <c r="G82" s="65">
        <v>0</v>
      </c>
      <c r="H82" s="64">
        <f aca="true" t="shared" si="23" ref="H82:H89">F82+G82</f>
        <v>10500</v>
      </c>
      <c r="I82" s="64">
        <f t="shared" si="22"/>
        <v>366242</v>
      </c>
      <c r="J82" s="64">
        <f t="shared" si="22"/>
        <v>0</v>
      </c>
      <c r="K82" s="64">
        <f t="shared" si="22"/>
        <v>366242</v>
      </c>
    </row>
    <row r="83" spans="1:11" s="100" customFormat="1" ht="15" customHeight="1">
      <c r="A83" s="61" t="s">
        <v>48</v>
      </c>
      <c r="B83" s="62" t="s">
        <v>49</v>
      </c>
      <c r="C83" s="65">
        <v>768800</v>
      </c>
      <c r="D83" s="65">
        <v>0</v>
      </c>
      <c r="E83" s="64">
        <f t="shared" si="21"/>
        <v>768800</v>
      </c>
      <c r="F83" s="65">
        <v>-11000</v>
      </c>
      <c r="G83" s="65">
        <v>0</v>
      </c>
      <c r="H83" s="64">
        <f t="shared" si="23"/>
        <v>-11000</v>
      </c>
      <c r="I83" s="64">
        <f t="shared" si="22"/>
        <v>757800</v>
      </c>
      <c r="J83" s="64">
        <f t="shared" si="22"/>
        <v>0</v>
      </c>
      <c r="K83" s="64">
        <f t="shared" si="22"/>
        <v>757800</v>
      </c>
    </row>
    <row r="84" spans="1:11" s="100" customFormat="1" ht="13.5" customHeight="1">
      <c r="A84" s="61" t="s">
        <v>36</v>
      </c>
      <c r="B84" s="62" t="s">
        <v>37</v>
      </c>
      <c r="C84" s="65">
        <v>118854</v>
      </c>
      <c r="D84" s="65">
        <v>0</v>
      </c>
      <c r="E84" s="64">
        <f t="shared" si="21"/>
        <v>118854</v>
      </c>
      <c r="F84" s="65">
        <f>1000+6500</f>
        <v>7500</v>
      </c>
      <c r="G84" s="65">
        <v>0</v>
      </c>
      <c r="H84" s="64">
        <f t="shared" si="23"/>
        <v>7500</v>
      </c>
      <c r="I84" s="64">
        <f t="shared" si="22"/>
        <v>126354</v>
      </c>
      <c r="J84" s="64">
        <f t="shared" si="22"/>
        <v>0</v>
      </c>
      <c r="K84" s="64">
        <f t="shared" si="22"/>
        <v>126354</v>
      </c>
    </row>
    <row r="85" spans="1:11" s="79" customFormat="1" ht="15" customHeight="1">
      <c r="A85" s="87" t="s">
        <v>71</v>
      </c>
      <c r="B85" s="88" t="s">
        <v>72</v>
      </c>
      <c r="C85" s="90">
        <v>13768</v>
      </c>
      <c r="D85" s="90">
        <v>0</v>
      </c>
      <c r="E85" s="27">
        <f t="shared" si="21"/>
        <v>13768</v>
      </c>
      <c r="F85" s="90">
        <v>-500</v>
      </c>
      <c r="G85" s="90">
        <v>0</v>
      </c>
      <c r="H85" s="27">
        <f t="shared" si="23"/>
        <v>-500</v>
      </c>
      <c r="I85" s="27">
        <f t="shared" si="22"/>
        <v>13268</v>
      </c>
      <c r="J85" s="27">
        <f t="shared" si="22"/>
        <v>0</v>
      </c>
      <c r="K85" s="27">
        <f t="shared" si="22"/>
        <v>13268</v>
      </c>
    </row>
    <row r="86" spans="1:11" s="32" customFormat="1" ht="15" customHeight="1">
      <c r="A86" s="31" t="s">
        <v>78</v>
      </c>
      <c r="B86" s="32" t="s">
        <v>79</v>
      </c>
      <c r="C86" s="26">
        <v>1900000</v>
      </c>
      <c r="D86" s="26">
        <v>0</v>
      </c>
      <c r="E86" s="27">
        <f t="shared" si="21"/>
        <v>1900000</v>
      </c>
      <c r="F86" s="33">
        <v>-218000</v>
      </c>
      <c r="G86" s="33">
        <v>0</v>
      </c>
      <c r="H86" s="27">
        <f t="shared" si="23"/>
        <v>-218000</v>
      </c>
      <c r="I86" s="27">
        <f t="shared" si="22"/>
        <v>1682000</v>
      </c>
      <c r="J86" s="27">
        <f t="shared" si="22"/>
        <v>0</v>
      </c>
      <c r="K86" s="27">
        <f t="shared" si="22"/>
        <v>1682000</v>
      </c>
    </row>
    <row r="87" spans="1:11" s="118" customFormat="1" ht="13.5" customHeight="1">
      <c r="A87" s="52">
        <v>80103</v>
      </c>
      <c r="B87" s="53" t="s">
        <v>73</v>
      </c>
      <c r="C87" s="56">
        <v>596346</v>
      </c>
      <c r="D87" s="56">
        <v>0</v>
      </c>
      <c r="E87" s="55">
        <f t="shared" si="21"/>
        <v>596346</v>
      </c>
      <c r="F87" s="56">
        <f>SUM(F88:F89)</f>
        <v>3500</v>
      </c>
      <c r="G87" s="56">
        <v>0</v>
      </c>
      <c r="H87" s="55">
        <f t="shared" si="23"/>
        <v>3500</v>
      </c>
      <c r="I87" s="55">
        <f t="shared" si="22"/>
        <v>599846</v>
      </c>
      <c r="J87" s="55">
        <f t="shared" si="22"/>
        <v>0</v>
      </c>
      <c r="K87" s="55">
        <f>SUM(E87+H87)</f>
        <v>599846</v>
      </c>
    </row>
    <row r="88" spans="1:11" s="62" customFormat="1" ht="13.5" customHeight="1">
      <c r="A88" s="61" t="s">
        <v>45</v>
      </c>
      <c r="B88" s="62" t="s">
        <v>46</v>
      </c>
      <c r="C88" s="63">
        <v>454164</v>
      </c>
      <c r="D88" s="63">
        <v>0</v>
      </c>
      <c r="E88" s="64">
        <f t="shared" si="21"/>
        <v>454164</v>
      </c>
      <c r="F88" s="65">
        <v>3000</v>
      </c>
      <c r="G88" s="65">
        <v>0</v>
      </c>
      <c r="H88" s="64">
        <f t="shared" si="23"/>
        <v>3000</v>
      </c>
      <c r="I88" s="64">
        <f t="shared" si="22"/>
        <v>457164</v>
      </c>
      <c r="J88" s="64">
        <f t="shared" si="22"/>
        <v>0</v>
      </c>
      <c r="K88" s="64">
        <f>E88+H88</f>
        <v>457164</v>
      </c>
    </row>
    <row r="89" spans="1:11" s="67" customFormat="1" ht="13.5" customHeight="1">
      <c r="A89" s="61" t="s">
        <v>31</v>
      </c>
      <c r="B89" s="62" t="s">
        <v>40</v>
      </c>
      <c r="C89" s="65">
        <v>88000</v>
      </c>
      <c r="D89" s="65">
        <v>0</v>
      </c>
      <c r="E89" s="64">
        <f t="shared" si="21"/>
        <v>88000</v>
      </c>
      <c r="F89" s="65">
        <v>500</v>
      </c>
      <c r="G89" s="65">
        <v>0</v>
      </c>
      <c r="H89" s="64">
        <f t="shared" si="23"/>
        <v>500</v>
      </c>
      <c r="I89" s="64">
        <f t="shared" si="22"/>
        <v>88500</v>
      </c>
      <c r="J89" s="64">
        <f t="shared" si="22"/>
        <v>0</v>
      </c>
      <c r="K89" s="64">
        <f>E89+H89</f>
        <v>88500</v>
      </c>
    </row>
    <row r="90" spans="1:11" s="95" customFormat="1" ht="40.5" customHeight="1">
      <c r="A90" s="132"/>
      <c r="B90" s="133"/>
      <c r="C90" s="98"/>
      <c r="D90" s="98"/>
      <c r="E90" s="97"/>
      <c r="F90" s="98"/>
      <c r="G90" s="98"/>
      <c r="H90" s="97"/>
      <c r="I90" s="97"/>
      <c r="J90" s="97"/>
      <c r="K90" s="97"/>
    </row>
    <row r="91" spans="1:11" s="118" customFormat="1" ht="13.5" customHeight="1">
      <c r="A91" s="52">
        <v>80104</v>
      </c>
      <c r="B91" s="53" t="s">
        <v>74</v>
      </c>
      <c r="C91" s="56">
        <v>9072464</v>
      </c>
      <c r="D91" s="56">
        <v>0</v>
      </c>
      <c r="E91" s="55">
        <f t="shared" si="21"/>
        <v>9072464</v>
      </c>
      <c r="F91" s="56">
        <f>SUM(F92:F97)</f>
        <v>19750</v>
      </c>
      <c r="G91" s="56">
        <v>0</v>
      </c>
      <c r="H91" s="55">
        <f aca="true" t="shared" si="24" ref="H91:H108">F91+G91</f>
        <v>19750</v>
      </c>
      <c r="I91" s="55">
        <f t="shared" si="22"/>
        <v>9092214</v>
      </c>
      <c r="J91" s="55">
        <f t="shared" si="22"/>
        <v>0</v>
      </c>
      <c r="K91" s="55">
        <f>SUM(E91+H91)</f>
        <v>9092214</v>
      </c>
    </row>
    <row r="92" spans="1:11" s="62" customFormat="1" ht="13.5" customHeight="1">
      <c r="A92" s="61" t="s">
        <v>39</v>
      </c>
      <c r="B92" s="62" t="s">
        <v>68</v>
      </c>
      <c r="C92" s="63">
        <v>369421</v>
      </c>
      <c r="D92" s="63">
        <v>0</v>
      </c>
      <c r="E92" s="64">
        <f t="shared" si="21"/>
        <v>369421</v>
      </c>
      <c r="F92" s="65">
        <v>2</v>
      </c>
      <c r="G92" s="65">
        <v>0</v>
      </c>
      <c r="H92" s="64">
        <f t="shared" si="24"/>
        <v>2</v>
      </c>
      <c r="I92" s="64">
        <f aca="true" t="shared" si="25" ref="I92:K108">C92+F92</f>
        <v>369423</v>
      </c>
      <c r="J92" s="64">
        <f t="shared" si="25"/>
        <v>0</v>
      </c>
      <c r="K92" s="64">
        <f aca="true" t="shared" si="26" ref="K92:K97">E92+H92</f>
        <v>369423</v>
      </c>
    </row>
    <row r="93" spans="1:11" s="67" customFormat="1" ht="13.5" customHeight="1">
      <c r="A93" s="61" t="s">
        <v>31</v>
      </c>
      <c r="B93" s="62" t="s">
        <v>40</v>
      </c>
      <c r="C93" s="65">
        <v>918820</v>
      </c>
      <c r="D93" s="65">
        <v>0</v>
      </c>
      <c r="E93" s="64">
        <f t="shared" si="21"/>
        <v>918820</v>
      </c>
      <c r="F93" s="65">
        <f>3000-2</f>
        <v>2998</v>
      </c>
      <c r="G93" s="65">
        <v>0</v>
      </c>
      <c r="H93" s="64">
        <f t="shared" si="24"/>
        <v>2998</v>
      </c>
      <c r="I93" s="64">
        <f t="shared" si="25"/>
        <v>921818</v>
      </c>
      <c r="J93" s="64">
        <f t="shared" si="25"/>
        <v>0</v>
      </c>
      <c r="K93" s="64">
        <f t="shared" si="26"/>
        <v>921818</v>
      </c>
    </row>
    <row r="94" spans="1:11" s="44" customFormat="1" ht="13.5" customHeight="1">
      <c r="A94" s="61" t="s">
        <v>32</v>
      </c>
      <c r="B94" s="62" t="s">
        <v>33</v>
      </c>
      <c r="C94" s="65">
        <v>118040</v>
      </c>
      <c r="D94" s="65">
        <v>0</v>
      </c>
      <c r="E94" s="64">
        <f>SUM(C94:D94)</f>
        <v>118040</v>
      </c>
      <c r="F94" s="65">
        <v>500</v>
      </c>
      <c r="G94" s="65">
        <v>0</v>
      </c>
      <c r="H94" s="64">
        <f>F94+G94</f>
        <v>500</v>
      </c>
      <c r="I94" s="64">
        <f t="shared" si="25"/>
        <v>118540</v>
      </c>
      <c r="J94" s="64">
        <f t="shared" si="25"/>
        <v>0</v>
      </c>
      <c r="K94" s="64">
        <f>E94+H94</f>
        <v>118540</v>
      </c>
    </row>
    <row r="95" spans="1:11" s="67" customFormat="1" ht="13.5" customHeight="1">
      <c r="A95" s="61" t="s">
        <v>24</v>
      </c>
      <c r="B95" s="62" t="s">
        <v>25</v>
      </c>
      <c r="C95" s="65">
        <v>224200</v>
      </c>
      <c r="D95" s="65">
        <v>0</v>
      </c>
      <c r="E95" s="64">
        <f t="shared" si="21"/>
        <v>224200</v>
      </c>
      <c r="F95" s="65">
        <f>150+400+4000+600+100</f>
        <v>5250</v>
      </c>
      <c r="G95" s="65">
        <v>0</v>
      </c>
      <c r="H95" s="64">
        <f t="shared" si="24"/>
        <v>5250</v>
      </c>
      <c r="I95" s="64">
        <f t="shared" si="25"/>
        <v>229450</v>
      </c>
      <c r="J95" s="64">
        <f t="shared" si="25"/>
        <v>0</v>
      </c>
      <c r="K95" s="64">
        <f t="shared" si="26"/>
        <v>229450</v>
      </c>
    </row>
    <row r="96" spans="1:11" s="44" customFormat="1" ht="15" customHeight="1">
      <c r="A96" s="61" t="s">
        <v>90</v>
      </c>
      <c r="B96" s="62" t="s">
        <v>91</v>
      </c>
      <c r="C96" s="63">
        <v>256230</v>
      </c>
      <c r="D96" s="63">
        <v>0</v>
      </c>
      <c r="E96" s="64">
        <f>SUM(C96:D96)</f>
        <v>256230</v>
      </c>
      <c r="F96" s="65">
        <f>15000-7000</f>
        <v>8000</v>
      </c>
      <c r="G96" s="65">
        <v>0</v>
      </c>
      <c r="H96" s="64">
        <f>F96+G96</f>
        <v>8000</v>
      </c>
      <c r="I96" s="64">
        <f>C96+F96</f>
        <v>264230</v>
      </c>
      <c r="J96" s="64">
        <f>D96+G96</f>
        <v>0</v>
      </c>
      <c r="K96" s="64">
        <f t="shared" si="26"/>
        <v>264230</v>
      </c>
    </row>
    <row r="97" spans="1:11" s="100" customFormat="1" ht="13.5" customHeight="1">
      <c r="A97" s="61" t="s">
        <v>36</v>
      </c>
      <c r="B97" s="62" t="s">
        <v>37</v>
      </c>
      <c r="C97" s="65">
        <v>134630</v>
      </c>
      <c r="D97" s="65">
        <v>0</v>
      </c>
      <c r="E97" s="64">
        <f>SUM(C97:D97)</f>
        <v>134630</v>
      </c>
      <c r="F97" s="65">
        <v>3000</v>
      </c>
      <c r="G97" s="65">
        <v>0</v>
      </c>
      <c r="H97" s="64">
        <f>F97+G97</f>
        <v>3000</v>
      </c>
      <c r="I97" s="64">
        <f>C97+F97</f>
        <v>137630</v>
      </c>
      <c r="J97" s="64">
        <f>D97+G97</f>
        <v>0</v>
      </c>
      <c r="K97" s="64">
        <f t="shared" si="26"/>
        <v>137630</v>
      </c>
    </row>
    <row r="98" spans="1:11" s="118" customFormat="1" ht="13.5" customHeight="1">
      <c r="A98" s="52">
        <v>80110</v>
      </c>
      <c r="B98" s="53" t="s">
        <v>75</v>
      </c>
      <c r="C98" s="56">
        <v>15140449</v>
      </c>
      <c r="D98" s="56">
        <v>0</v>
      </c>
      <c r="E98" s="55">
        <f t="shared" si="21"/>
        <v>15140449</v>
      </c>
      <c r="F98" s="56">
        <f>SUM(F99:F106)</f>
        <v>42581</v>
      </c>
      <c r="G98" s="56">
        <v>0</v>
      </c>
      <c r="H98" s="55">
        <f t="shared" si="24"/>
        <v>42581</v>
      </c>
      <c r="I98" s="55">
        <f t="shared" si="25"/>
        <v>15183030</v>
      </c>
      <c r="J98" s="55">
        <f t="shared" si="25"/>
        <v>0</v>
      </c>
      <c r="K98" s="55">
        <f>SUM(E98+H98)</f>
        <v>15183030</v>
      </c>
    </row>
    <row r="99" spans="1:11" s="67" customFormat="1" ht="13.5" customHeight="1">
      <c r="A99" s="61" t="s">
        <v>31</v>
      </c>
      <c r="B99" s="62" t="s">
        <v>40</v>
      </c>
      <c r="C99" s="65">
        <v>1602600</v>
      </c>
      <c r="D99" s="65">
        <v>0</v>
      </c>
      <c r="E99" s="64">
        <f>SUM(C99:D99)</f>
        <v>1602600</v>
      </c>
      <c r="F99" s="65">
        <v>450</v>
      </c>
      <c r="G99" s="65">
        <v>0</v>
      </c>
      <c r="H99" s="64">
        <f>F99+G99</f>
        <v>450</v>
      </c>
      <c r="I99" s="64">
        <f aca="true" t="shared" si="27" ref="I99:J101">C99+F99</f>
        <v>1603050</v>
      </c>
      <c r="J99" s="64">
        <f t="shared" si="27"/>
        <v>0</v>
      </c>
      <c r="K99" s="64">
        <f t="shared" si="25"/>
        <v>1603050</v>
      </c>
    </row>
    <row r="100" spans="1:11" s="67" customFormat="1" ht="13.5" customHeight="1">
      <c r="A100" s="61" t="s">
        <v>32</v>
      </c>
      <c r="B100" s="62" t="s">
        <v>33</v>
      </c>
      <c r="C100" s="65">
        <v>221400</v>
      </c>
      <c r="D100" s="65">
        <v>0</v>
      </c>
      <c r="E100" s="64">
        <f>SUM(C100:D100)</f>
        <v>221400</v>
      </c>
      <c r="F100" s="65">
        <v>70</v>
      </c>
      <c r="G100" s="65">
        <v>0</v>
      </c>
      <c r="H100" s="64">
        <f>F100+G100</f>
        <v>70</v>
      </c>
      <c r="I100" s="64">
        <f t="shared" si="27"/>
        <v>221470</v>
      </c>
      <c r="J100" s="64">
        <f t="shared" si="27"/>
        <v>0</v>
      </c>
      <c r="K100" s="64">
        <f>E100+H100</f>
        <v>221470</v>
      </c>
    </row>
    <row r="101" spans="1:11" s="119" customFormat="1" ht="15" customHeight="1">
      <c r="A101" s="113" t="s">
        <v>34</v>
      </c>
      <c r="B101" s="114" t="s">
        <v>35</v>
      </c>
      <c r="C101" s="115">
        <v>0</v>
      </c>
      <c r="D101" s="115">
        <v>0</v>
      </c>
      <c r="E101" s="64">
        <f>SUM(C101:D101)</f>
        <v>0</v>
      </c>
      <c r="F101" s="115">
        <v>2500</v>
      </c>
      <c r="G101" s="115">
        <v>0</v>
      </c>
      <c r="H101" s="64">
        <f>SUM(F101:G101)</f>
        <v>2500</v>
      </c>
      <c r="I101" s="64">
        <f t="shared" si="27"/>
        <v>2500</v>
      </c>
      <c r="J101" s="64">
        <f t="shared" si="27"/>
        <v>0</v>
      </c>
      <c r="K101" s="64">
        <f>E101+H101</f>
        <v>2500</v>
      </c>
    </row>
    <row r="102" spans="1:11" s="67" customFormat="1" ht="13.5" customHeight="1">
      <c r="A102" s="61" t="s">
        <v>24</v>
      </c>
      <c r="B102" s="62" t="s">
        <v>25</v>
      </c>
      <c r="C102" s="65">
        <v>310843</v>
      </c>
      <c r="D102" s="65">
        <v>0</v>
      </c>
      <c r="E102" s="64">
        <f t="shared" si="21"/>
        <v>310843</v>
      </c>
      <c r="F102" s="65">
        <v>1500</v>
      </c>
      <c r="G102" s="65">
        <v>0</v>
      </c>
      <c r="H102" s="64">
        <f t="shared" si="24"/>
        <v>1500</v>
      </c>
      <c r="I102" s="64">
        <f t="shared" si="25"/>
        <v>312343</v>
      </c>
      <c r="J102" s="64">
        <f t="shared" si="25"/>
        <v>0</v>
      </c>
      <c r="K102" s="64">
        <f t="shared" si="25"/>
        <v>312343</v>
      </c>
    </row>
    <row r="103" spans="1:11" s="67" customFormat="1" ht="15" customHeight="1">
      <c r="A103" s="61" t="s">
        <v>90</v>
      </c>
      <c r="B103" s="62" t="s">
        <v>91</v>
      </c>
      <c r="C103" s="63">
        <v>199616</v>
      </c>
      <c r="D103" s="63">
        <v>0</v>
      </c>
      <c r="E103" s="64">
        <f t="shared" si="21"/>
        <v>199616</v>
      </c>
      <c r="F103" s="65">
        <v>15000</v>
      </c>
      <c r="G103" s="65">
        <v>0</v>
      </c>
      <c r="H103" s="64">
        <f t="shared" si="24"/>
        <v>15000</v>
      </c>
      <c r="I103" s="64">
        <f t="shared" si="25"/>
        <v>214616</v>
      </c>
      <c r="J103" s="64">
        <f t="shared" si="25"/>
        <v>0</v>
      </c>
      <c r="K103" s="64">
        <f t="shared" si="25"/>
        <v>214616</v>
      </c>
    </row>
    <row r="104" spans="1:11" s="67" customFormat="1" ht="13.5" customHeight="1">
      <c r="A104" s="61" t="s">
        <v>36</v>
      </c>
      <c r="B104" s="62" t="s">
        <v>37</v>
      </c>
      <c r="C104" s="65">
        <v>142275</v>
      </c>
      <c r="D104" s="65">
        <v>0</v>
      </c>
      <c r="E104" s="64">
        <f t="shared" si="21"/>
        <v>142275</v>
      </c>
      <c r="F104" s="65">
        <f>81+9680</f>
        <v>9761</v>
      </c>
      <c r="G104" s="65">
        <v>0</v>
      </c>
      <c r="H104" s="64">
        <f t="shared" si="24"/>
        <v>9761</v>
      </c>
      <c r="I104" s="64">
        <f t="shared" si="25"/>
        <v>152036</v>
      </c>
      <c r="J104" s="64">
        <f t="shared" si="25"/>
        <v>0</v>
      </c>
      <c r="K104" s="64">
        <f t="shared" si="25"/>
        <v>152036</v>
      </c>
    </row>
    <row r="105" spans="1:11" s="32" customFormat="1" ht="15" customHeight="1">
      <c r="A105" s="31" t="s">
        <v>78</v>
      </c>
      <c r="B105" s="32" t="s">
        <v>79</v>
      </c>
      <c r="C105" s="26">
        <v>1550000</v>
      </c>
      <c r="D105" s="26">
        <v>0</v>
      </c>
      <c r="E105" s="27">
        <f>SUM(C105:D105)</f>
        <v>1550000</v>
      </c>
      <c r="F105" s="33">
        <v>8000</v>
      </c>
      <c r="G105" s="33">
        <v>0</v>
      </c>
      <c r="H105" s="27">
        <f>F105+G105</f>
        <v>8000</v>
      </c>
      <c r="I105" s="27">
        <f>C105+F105</f>
        <v>1558000</v>
      </c>
      <c r="J105" s="27">
        <f>D105+G105</f>
        <v>0</v>
      </c>
      <c r="K105" s="27">
        <f>E105+H105</f>
        <v>1558000</v>
      </c>
    </row>
    <row r="106" spans="1:11" s="70" customFormat="1" ht="15" customHeight="1">
      <c r="A106" s="69" t="s">
        <v>108</v>
      </c>
      <c r="B106" s="70" t="s">
        <v>110</v>
      </c>
      <c r="C106" s="38">
        <v>7500</v>
      </c>
      <c r="D106" s="38">
        <v>0</v>
      </c>
      <c r="E106" s="39">
        <f t="shared" si="21"/>
        <v>7500</v>
      </c>
      <c r="F106" s="71">
        <v>5300</v>
      </c>
      <c r="G106" s="71">
        <v>0</v>
      </c>
      <c r="H106" s="39">
        <f t="shared" si="24"/>
        <v>5300</v>
      </c>
      <c r="I106" s="39">
        <f t="shared" si="25"/>
        <v>12800</v>
      </c>
      <c r="J106" s="39">
        <f t="shared" si="25"/>
        <v>0</v>
      </c>
      <c r="K106" s="39">
        <f t="shared" si="25"/>
        <v>12800</v>
      </c>
    </row>
    <row r="107" spans="1:11" s="118" customFormat="1" ht="13.5" customHeight="1">
      <c r="A107" s="52">
        <v>80114</v>
      </c>
      <c r="B107" s="53" t="s">
        <v>80</v>
      </c>
      <c r="C107" s="56">
        <v>506100</v>
      </c>
      <c r="D107" s="56">
        <v>0</v>
      </c>
      <c r="E107" s="55">
        <f aca="true" t="shared" si="28" ref="E107:E119">SUM(C107:D107)</f>
        <v>506100</v>
      </c>
      <c r="F107" s="56">
        <f>SUM(F108:F108)</f>
        <v>3000</v>
      </c>
      <c r="G107" s="56">
        <v>0</v>
      </c>
      <c r="H107" s="55">
        <f t="shared" si="24"/>
        <v>3000</v>
      </c>
      <c r="I107" s="55">
        <f t="shared" si="25"/>
        <v>509100</v>
      </c>
      <c r="J107" s="55">
        <f t="shared" si="25"/>
        <v>0</v>
      </c>
      <c r="K107" s="55">
        <f>SUM(E107+H107)</f>
        <v>509100</v>
      </c>
    </row>
    <row r="108" spans="1:11" s="58" customFormat="1" ht="13.5" customHeight="1">
      <c r="A108" s="57" t="s">
        <v>24</v>
      </c>
      <c r="B108" s="58" t="s">
        <v>122</v>
      </c>
      <c r="C108" s="99">
        <v>19970</v>
      </c>
      <c r="D108" s="99">
        <v>0</v>
      </c>
      <c r="E108" s="60">
        <f t="shared" si="28"/>
        <v>19970</v>
      </c>
      <c r="F108" s="59">
        <v>3000</v>
      </c>
      <c r="G108" s="59">
        <v>0</v>
      </c>
      <c r="H108" s="60">
        <f t="shared" si="24"/>
        <v>3000</v>
      </c>
      <c r="I108" s="60">
        <f t="shared" si="25"/>
        <v>22970</v>
      </c>
      <c r="J108" s="60">
        <f t="shared" si="25"/>
        <v>0</v>
      </c>
      <c r="K108" s="60">
        <f>E108+H108</f>
        <v>22970</v>
      </c>
    </row>
    <row r="109" spans="1:11" s="44" customFormat="1" ht="15" customHeight="1">
      <c r="A109" s="61">
        <v>80195</v>
      </c>
      <c r="B109" s="62" t="s">
        <v>23</v>
      </c>
      <c r="C109" s="65">
        <v>821754</v>
      </c>
      <c r="D109" s="65">
        <v>70000</v>
      </c>
      <c r="E109" s="64">
        <f t="shared" si="28"/>
        <v>891754</v>
      </c>
      <c r="F109" s="65">
        <f>SUM(F111:F118)</f>
        <v>-93000</v>
      </c>
      <c r="G109" s="65">
        <f>SUM(G110:G118)</f>
        <v>104826</v>
      </c>
      <c r="H109" s="64">
        <f aca="true" t="shared" si="29" ref="H109:H119">F109+G109</f>
        <v>11826</v>
      </c>
      <c r="I109" s="64">
        <f aca="true" t="shared" si="30" ref="I109:J118">C109+F109</f>
        <v>728754</v>
      </c>
      <c r="J109" s="64">
        <f t="shared" si="30"/>
        <v>174826</v>
      </c>
      <c r="K109" s="64">
        <f>SUM(E109+H109)</f>
        <v>903580</v>
      </c>
    </row>
    <row r="110" spans="1:11" s="67" customFormat="1" ht="13.5" customHeight="1">
      <c r="A110" s="61" t="s">
        <v>31</v>
      </c>
      <c r="B110" s="62" t="s">
        <v>40</v>
      </c>
      <c r="C110" s="65">
        <v>52330</v>
      </c>
      <c r="D110" s="65">
        <v>10290</v>
      </c>
      <c r="E110" s="64">
        <f t="shared" si="28"/>
        <v>62620</v>
      </c>
      <c r="F110" s="65">
        <v>0</v>
      </c>
      <c r="G110" s="65">
        <v>-10290</v>
      </c>
      <c r="H110" s="64">
        <f>F110+G110</f>
        <v>-10290</v>
      </c>
      <c r="I110" s="64">
        <f t="shared" si="30"/>
        <v>52330</v>
      </c>
      <c r="J110" s="64">
        <f t="shared" si="30"/>
        <v>0</v>
      </c>
      <c r="K110" s="64">
        <f>E110+H110</f>
        <v>52330</v>
      </c>
    </row>
    <row r="111" spans="1:11" s="44" customFormat="1" ht="15" customHeight="1">
      <c r="A111" s="61" t="s">
        <v>129</v>
      </c>
      <c r="B111" s="62" t="s">
        <v>40</v>
      </c>
      <c r="C111" s="65">
        <v>0</v>
      </c>
      <c r="D111" s="65">
        <v>0</v>
      </c>
      <c r="E111" s="64">
        <f t="shared" si="28"/>
        <v>0</v>
      </c>
      <c r="F111" s="65">
        <v>0</v>
      </c>
      <c r="G111" s="65">
        <v>6725</v>
      </c>
      <c r="H111" s="64">
        <f>F111+G111</f>
        <v>6725</v>
      </c>
      <c r="I111" s="64">
        <f>C111+F111</f>
        <v>0</v>
      </c>
      <c r="J111" s="64">
        <f>D111+G111</f>
        <v>6725</v>
      </c>
      <c r="K111" s="64">
        <f>E111+H111</f>
        <v>6725</v>
      </c>
    </row>
    <row r="112" spans="1:11" s="44" customFormat="1" ht="13.5" customHeight="1">
      <c r="A112" s="61" t="s">
        <v>32</v>
      </c>
      <c r="B112" s="62" t="s">
        <v>33</v>
      </c>
      <c r="C112" s="65">
        <v>7130</v>
      </c>
      <c r="D112" s="65">
        <v>1320</v>
      </c>
      <c r="E112" s="64">
        <f t="shared" si="28"/>
        <v>8450</v>
      </c>
      <c r="F112" s="65">
        <v>0</v>
      </c>
      <c r="G112" s="65">
        <v>-1320</v>
      </c>
      <c r="H112" s="64">
        <f>F112+G112</f>
        <v>-1320</v>
      </c>
      <c r="I112" s="64">
        <f>C112+F112</f>
        <v>7130</v>
      </c>
      <c r="J112" s="64">
        <f>D112+G112</f>
        <v>0</v>
      </c>
      <c r="K112" s="64">
        <f>E112+H112</f>
        <v>7130</v>
      </c>
    </row>
    <row r="113" spans="1:11" s="44" customFormat="1" ht="15" customHeight="1">
      <c r="A113" s="61" t="s">
        <v>130</v>
      </c>
      <c r="B113" s="62" t="s">
        <v>33</v>
      </c>
      <c r="C113" s="65">
        <v>0</v>
      </c>
      <c r="D113" s="65">
        <v>0</v>
      </c>
      <c r="E113" s="64">
        <f t="shared" si="28"/>
        <v>0</v>
      </c>
      <c r="F113" s="65">
        <v>0</v>
      </c>
      <c r="G113" s="65">
        <v>959</v>
      </c>
      <c r="H113" s="64">
        <f t="shared" si="29"/>
        <v>959</v>
      </c>
      <c r="I113" s="64">
        <f t="shared" si="30"/>
        <v>0</v>
      </c>
      <c r="J113" s="64">
        <f t="shared" si="30"/>
        <v>959</v>
      </c>
      <c r="K113" s="64">
        <f aca="true" t="shared" si="31" ref="K113:K119">E113+H113</f>
        <v>959</v>
      </c>
    </row>
    <row r="114" spans="1:11" s="116" customFormat="1" ht="15" customHeight="1">
      <c r="A114" s="113" t="s">
        <v>34</v>
      </c>
      <c r="B114" s="114" t="s">
        <v>35</v>
      </c>
      <c r="C114" s="115">
        <v>351020</v>
      </c>
      <c r="D114" s="115">
        <v>58390</v>
      </c>
      <c r="E114" s="64">
        <f t="shared" si="28"/>
        <v>409410</v>
      </c>
      <c r="F114" s="115">
        <v>0</v>
      </c>
      <c r="G114" s="115">
        <v>-58390</v>
      </c>
      <c r="H114" s="64">
        <f>SUM(F114:G114)</f>
        <v>-58390</v>
      </c>
      <c r="I114" s="64">
        <f t="shared" si="30"/>
        <v>351020</v>
      </c>
      <c r="J114" s="64">
        <f t="shared" si="30"/>
        <v>0</v>
      </c>
      <c r="K114" s="64">
        <f>E114+H114</f>
        <v>351020</v>
      </c>
    </row>
    <row r="115" spans="1:11" s="44" customFormat="1" ht="15" customHeight="1">
      <c r="A115" s="61" t="s">
        <v>131</v>
      </c>
      <c r="B115" s="62" t="s">
        <v>35</v>
      </c>
      <c r="C115" s="65">
        <v>0</v>
      </c>
      <c r="D115" s="65">
        <v>0</v>
      </c>
      <c r="E115" s="64">
        <f t="shared" si="28"/>
        <v>0</v>
      </c>
      <c r="F115" s="65">
        <v>0</v>
      </c>
      <c r="G115" s="65">
        <v>39118</v>
      </c>
      <c r="H115" s="64">
        <f t="shared" si="29"/>
        <v>39118</v>
      </c>
      <c r="I115" s="64">
        <f t="shared" si="30"/>
        <v>0</v>
      </c>
      <c r="J115" s="64">
        <f t="shared" si="30"/>
        <v>39118</v>
      </c>
      <c r="K115" s="64">
        <f t="shared" si="31"/>
        <v>39118</v>
      </c>
    </row>
    <row r="116" spans="1:11" s="44" customFormat="1" ht="15" customHeight="1">
      <c r="A116" s="61" t="s">
        <v>65</v>
      </c>
      <c r="B116" s="62" t="s">
        <v>25</v>
      </c>
      <c r="C116" s="65">
        <v>0</v>
      </c>
      <c r="D116" s="65">
        <v>0</v>
      </c>
      <c r="E116" s="64">
        <f t="shared" si="28"/>
        <v>0</v>
      </c>
      <c r="F116" s="65">
        <v>0</v>
      </c>
      <c r="G116" s="65">
        <v>10186</v>
      </c>
      <c r="H116" s="64">
        <f>F116+G116</f>
        <v>10186</v>
      </c>
      <c r="I116" s="64">
        <f>C116+F116</f>
        <v>0</v>
      </c>
      <c r="J116" s="64">
        <f>D116+G116</f>
        <v>10186</v>
      </c>
      <c r="K116" s="64">
        <f t="shared" si="31"/>
        <v>10186</v>
      </c>
    </row>
    <row r="117" spans="1:11" s="44" customFormat="1" ht="15" customHeight="1">
      <c r="A117" s="61" t="s">
        <v>90</v>
      </c>
      <c r="B117" s="62" t="s">
        <v>91</v>
      </c>
      <c r="C117" s="63">
        <v>146000</v>
      </c>
      <c r="D117" s="63">
        <v>0</v>
      </c>
      <c r="E117" s="64">
        <f t="shared" si="28"/>
        <v>146000</v>
      </c>
      <c r="F117" s="65">
        <f>-8000-85000</f>
        <v>-93000</v>
      </c>
      <c r="G117" s="65">
        <v>0</v>
      </c>
      <c r="H117" s="64">
        <f>F117+G117</f>
        <v>-93000</v>
      </c>
      <c r="I117" s="64">
        <f>C117+F117</f>
        <v>53000</v>
      </c>
      <c r="J117" s="64">
        <f>D117+G117</f>
        <v>0</v>
      </c>
      <c r="K117" s="64">
        <f t="shared" si="31"/>
        <v>53000</v>
      </c>
    </row>
    <row r="118" spans="1:11" s="44" customFormat="1" ht="15" customHeight="1">
      <c r="A118" s="61" t="s">
        <v>163</v>
      </c>
      <c r="B118" s="62" t="s">
        <v>37</v>
      </c>
      <c r="C118" s="63">
        <v>0</v>
      </c>
      <c r="D118" s="63">
        <v>0</v>
      </c>
      <c r="E118" s="64">
        <f t="shared" si="28"/>
        <v>0</v>
      </c>
      <c r="F118" s="65">
        <v>0</v>
      </c>
      <c r="G118" s="65">
        <v>117838</v>
      </c>
      <c r="H118" s="64">
        <f t="shared" si="29"/>
        <v>117838</v>
      </c>
      <c r="I118" s="64">
        <f t="shared" si="30"/>
        <v>0</v>
      </c>
      <c r="J118" s="64">
        <f t="shared" si="30"/>
        <v>117838</v>
      </c>
      <c r="K118" s="64">
        <f t="shared" si="31"/>
        <v>117838</v>
      </c>
    </row>
    <row r="119" spans="1:11" s="7" customFormat="1" ht="15" customHeight="1">
      <c r="A119" s="3" t="s">
        <v>28</v>
      </c>
      <c r="B119" s="15" t="s">
        <v>29</v>
      </c>
      <c r="C119" s="16">
        <v>882000</v>
      </c>
      <c r="D119" s="16">
        <v>0</v>
      </c>
      <c r="E119" s="6">
        <f t="shared" si="28"/>
        <v>882000</v>
      </c>
      <c r="F119" s="16">
        <v>0</v>
      </c>
      <c r="G119" s="16">
        <v>0</v>
      </c>
      <c r="H119" s="6">
        <f t="shared" si="29"/>
        <v>0</v>
      </c>
      <c r="I119" s="6">
        <f>C119+F119</f>
        <v>882000</v>
      </c>
      <c r="J119" s="6">
        <f>D119+G119</f>
        <v>0</v>
      </c>
      <c r="K119" s="6">
        <f t="shared" si="31"/>
        <v>882000</v>
      </c>
    </row>
    <row r="120" spans="1:11" s="10" customFormat="1" ht="15" customHeight="1">
      <c r="A120" s="14"/>
      <c r="B120" s="17" t="s">
        <v>10</v>
      </c>
      <c r="C120" s="18"/>
      <c r="D120" s="18"/>
      <c r="E120" s="9"/>
      <c r="F120" s="18"/>
      <c r="G120" s="18"/>
      <c r="H120" s="9"/>
      <c r="I120" s="9"/>
      <c r="J120" s="9"/>
      <c r="K120" s="9"/>
    </row>
    <row r="121" spans="1:11" s="13" customFormat="1" ht="15" customHeight="1">
      <c r="A121" s="19"/>
      <c r="B121" s="11" t="s">
        <v>60</v>
      </c>
      <c r="C121" s="21">
        <v>0</v>
      </c>
      <c r="D121" s="21">
        <v>0</v>
      </c>
      <c r="E121" s="12">
        <f>SUM(C121:D121)</f>
        <v>0</v>
      </c>
      <c r="F121" s="21">
        <v>0</v>
      </c>
      <c r="G121" s="21">
        <v>0</v>
      </c>
      <c r="H121" s="12">
        <f>F121+G121</f>
        <v>0</v>
      </c>
      <c r="I121" s="12">
        <f aca="true" t="shared" si="32" ref="I121:K125">C121+F121</f>
        <v>0</v>
      </c>
      <c r="J121" s="12">
        <f t="shared" si="32"/>
        <v>0</v>
      </c>
      <c r="K121" s="12">
        <f t="shared" si="32"/>
        <v>0</v>
      </c>
    </row>
    <row r="122" spans="1:11" s="7" customFormat="1" ht="15" customHeight="1">
      <c r="A122" s="22">
        <v>85154</v>
      </c>
      <c r="B122" s="7" t="s">
        <v>30</v>
      </c>
      <c r="C122" s="23">
        <v>750000</v>
      </c>
      <c r="D122" s="23">
        <v>0</v>
      </c>
      <c r="E122" s="24">
        <f>SUM(C122:D122)</f>
        <v>750000</v>
      </c>
      <c r="F122" s="23">
        <f>SUM(F123:F124)</f>
        <v>0</v>
      </c>
      <c r="G122" s="23">
        <v>0</v>
      </c>
      <c r="H122" s="24">
        <f>F122+G122</f>
        <v>0</v>
      </c>
      <c r="I122" s="24">
        <f t="shared" si="32"/>
        <v>750000</v>
      </c>
      <c r="J122" s="24">
        <f t="shared" si="32"/>
        <v>0</v>
      </c>
      <c r="K122" s="24">
        <f t="shared" si="32"/>
        <v>750000</v>
      </c>
    </row>
    <row r="123" spans="1:11" s="10" customFormat="1" ht="15" customHeight="1">
      <c r="A123" s="25" t="s">
        <v>32</v>
      </c>
      <c r="B123" s="10" t="s">
        <v>33</v>
      </c>
      <c r="C123" s="26">
        <v>1630</v>
      </c>
      <c r="D123" s="26">
        <v>0</v>
      </c>
      <c r="E123" s="27">
        <f>SUM(C123:D123)</f>
        <v>1630</v>
      </c>
      <c r="F123" s="26">
        <v>9</v>
      </c>
      <c r="G123" s="26">
        <v>0</v>
      </c>
      <c r="H123" s="27">
        <f>F123+G123</f>
        <v>9</v>
      </c>
      <c r="I123" s="27">
        <f t="shared" si="32"/>
        <v>1639</v>
      </c>
      <c r="J123" s="27">
        <f t="shared" si="32"/>
        <v>0</v>
      </c>
      <c r="K123" s="27">
        <f t="shared" si="32"/>
        <v>1639</v>
      </c>
    </row>
    <row r="124" spans="1:11" s="10" customFormat="1" ht="15" customHeight="1">
      <c r="A124" s="25" t="s">
        <v>34</v>
      </c>
      <c r="B124" s="10" t="s">
        <v>35</v>
      </c>
      <c r="C124" s="26">
        <v>166720</v>
      </c>
      <c r="D124" s="26">
        <v>0</v>
      </c>
      <c r="E124" s="27">
        <f>SUM(C124:D124)</f>
        <v>166720</v>
      </c>
      <c r="F124" s="26">
        <v>-9</v>
      </c>
      <c r="G124" s="26">
        <v>0</v>
      </c>
      <c r="H124" s="27">
        <f>F124+G124</f>
        <v>-9</v>
      </c>
      <c r="I124" s="27">
        <f t="shared" si="32"/>
        <v>166711</v>
      </c>
      <c r="J124" s="27">
        <f t="shared" si="32"/>
        <v>0</v>
      </c>
      <c r="K124" s="27">
        <f t="shared" si="32"/>
        <v>166711</v>
      </c>
    </row>
    <row r="125" spans="1:11" s="7" customFormat="1" ht="15" customHeight="1">
      <c r="A125" s="3" t="s">
        <v>81</v>
      </c>
      <c r="B125" s="15" t="s">
        <v>82</v>
      </c>
      <c r="C125" s="16">
        <v>10634839</v>
      </c>
      <c r="D125" s="16">
        <v>22402944</v>
      </c>
      <c r="E125" s="6">
        <f>SUM(C125:D125)</f>
        <v>33037783</v>
      </c>
      <c r="F125" s="16">
        <f>F128+F138+F160+F166+F156</f>
        <v>81568</v>
      </c>
      <c r="G125" s="16">
        <f>G128+G138+G160+G166+G154</f>
        <v>466282</v>
      </c>
      <c r="H125" s="6">
        <f>F125+G125</f>
        <v>547850</v>
      </c>
      <c r="I125" s="6">
        <f t="shared" si="32"/>
        <v>10716407</v>
      </c>
      <c r="J125" s="6">
        <f t="shared" si="32"/>
        <v>22869226</v>
      </c>
      <c r="K125" s="6">
        <f t="shared" si="32"/>
        <v>33585633</v>
      </c>
    </row>
    <row r="126" spans="1:11" s="10" customFormat="1" ht="15" customHeight="1">
      <c r="A126" s="14"/>
      <c r="B126" s="17" t="s">
        <v>10</v>
      </c>
      <c r="C126" s="18"/>
      <c r="D126" s="18"/>
      <c r="E126" s="9"/>
      <c r="F126" s="18"/>
      <c r="G126" s="18"/>
      <c r="H126" s="9"/>
      <c r="I126" s="9"/>
      <c r="J126" s="9"/>
      <c r="K126" s="9"/>
    </row>
    <row r="127" spans="1:11" s="13" customFormat="1" ht="15" customHeight="1">
      <c r="A127" s="19"/>
      <c r="B127" s="11" t="s">
        <v>60</v>
      </c>
      <c r="C127" s="21">
        <v>25000</v>
      </c>
      <c r="D127" s="21">
        <v>0</v>
      </c>
      <c r="E127" s="12">
        <f aca="true" t="shared" si="33" ref="E127:E144">SUM(C127:D127)</f>
        <v>25000</v>
      </c>
      <c r="F127" s="21">
        <f>F149</f>
        <v>21000</v>
      </c>
      <c r="G127" s="21">
        <v>0</v>
      </c>
      <c r="H127" s="12">
        <f aca="true" t="shared" si="34" ref="H127:H167">F127+G127</f>
        <v>21000</v>
      </c>
      <c r="I127" s="12">
        <f aca="true" t="shared" si="35" ref="I127:K138">C127+F127</f>
        <v>46000</v>
      </c>
      <c r="J127" s="12">
        <f t="shared" si="35"/>
        <v>0</v>
      </c>
      <c r="K127" s="12">
        <f t="shared" si="35"/>
        <v>46000</v>
      </c>
    </row>
    <row r="128" spans="1:11" s="29" customFormat="1" ht="15" customHeight="1">
      <c r="A128" s="28">
        <v>85202</v>
      </c>
      <c r="B128" s="29" t="s">
        <v>83</v>
      </c>
      <c r="C128" s="23">
        <v>440431</v>
      </c>
      <c r="D128" s="23">
        <v>0</v>
      </c>
      <c r="E128" s="24">
        <f t="shared" si="33"/>
        <v>440431</v>
      </c>
      <c r="F128" s="30">
        <f>SUM(F129:F137)</f>
        <v>-25904</v>
      </c>
      <c r="G128" s="30">
        <v>0</v>
      </c>
      <c r="H128" s="24">
        <f t="shared" si="34"/>
        <v>-25904</v>
      </c>
      <c r="I128" s="24">
        <f t="shared" si="35"/>
        <v>414527</v>
      </c>
      <c r="J128" s="24">
        <f t="shared" si="35"/>
        <v>0</v>
      </c>
      <c r="K128" s="24">
        <f t="shared" si="35"/>
        <v>414527</v>
      </c>
    </row>
    <row r="129" spans="1:11" s="62" customFormat="1" ht="15" customHeight="1">
      <c r="A129" s="61" t="s">
        <v>45</v>
      </c>
      <c r="B129" s="62" t="s">
        <v>46</v>
      </c>
      <c r="C129" s="63">
        <v>173000</v>
      </c>
      <c r="D129" s="63">
        <v>0</v>
      </c>
      <c r="E129" s="64">
        <f t="shared" si="33"/>
        <v>173000</v>
      </c>
      <c r="F129" s="65">
        <v>-1107</v>
      </c>
      <c r="G129" s="65">
        <v>0</v>
      </c>
      <c r="H129" s="64">
        <f t="shared" si="34"/>
        <v>-1107</v>
      </c>
      <c r="I129" s="64">
        <f t="shared" si="35"/>
        <v>171893</v>
      </c>
      <c r="J129" s="64">
        <f t="shared" si="35"/>
        <v>0</v>
      </c>
      <c r="K129" s="64">
        <f t="shared" si="35"/>
        <v>171893</v>
      </c>
    </row>
    <row r="130" spans="1:11" s="62" customFormat="1" ht="13.5" customHeight="1">
      <c r="A130" s="113" t="s">
        <v>31</v>
      </c>
      <c r="B130" s="114" t="s">
        <v>40</v>
      </c>
      <c r="C130" s="63">
        <v>36053</v>
      </c>
      <c r="D130" s="63">
        <v>0</v>
      </c>
      <c r="E130" s="64">
        <f t="shared" si="33"/>
        <v>36053</v>
      </c>
      <c r="F130" s="65">
        <v>-4484</v>
      </c>
      <c r="G130" s="65">
        <v>0</v>
      </c>
      <c r="H130" s="64">
        <f t="shared" si="34"/>
        <v>-4484</v>
      </c>
      <c r="I130" s="64">
        <f t="shared" si="35"/>
        <v>31569</v>
      </c>
      <c r="J130" s="64">
        <f t="shared" si="35"/>
        <v>0</v>
      </c>
      <c r="K130" s="64">
        <f t="shared" si="35"/>
        <v>31569</v>
      </c>
    </row>
    <row r="131" spans="1:11" s="119" customFormat="1" ht="15" customHeight="1">
      <c r="A131" s="61" t="s">
        <v>32</v>
      </c>
      <c r="B131" s="62" t="s">
        <v>33</v>
      </c>
      <c r="C131" s="115">
        <v>5000</v>
      </c>
      <c r="D131" s="115">
        <v>0</v>
      </c>
      <c r="E131" s="64">
        <f t="shared" si="33"/>
        <v>5000</v>
      </c>
      <c r="F131" s="115">
        <v>-784</v>
      </c>
      <c r="G131" s="115">
        <v>0</v>
      </c>
      <c r="H131" s="64">
        <f t="shared" si="34"/>
        <v>-784</v>
      </c>
      <c r="I131" s="64">
        <f t="shared" si="35"/>
        <v>4216</v>
      </c>
      <c r="J131" s="64">
        <f t="shared" si="35"/>
        <v>0</v>
      </c>
      <c r="K131" s="64">
        <f t="shared" si="35"/>
        <v>4216</v>
      </c>
    </row>
    <row r="132" spans="1:11" s="62" customFormat="1" ht="15" customHeight="1">
      <c r="A132" s="61" t="s">
        <v>34</v>
      </c>
      <c r="B132" s="62" t="s">
        <v>57</v>
      </c>
      <c r="C132" s="63">
        <v>1250</v>
      </c>
      <c r="D132" s="63">
        <v>0</v>
      </c>
      <c r="E132" s="64">
        <f t="shared" si="33"/>
        <v>1250</v>
      </c>
      <c r="F132" s="65">
        <v>-40</v>
      </c>
      <c r="G132" s="65">
        <v>0</v>
      </c>
      <c r="H132" s="64">
        <f t="shared" si="34"/>
        <v>-40</v>
      </c>
      <c r="I132" s="64">
        <f t="shared" si="35"/>
        <v>1210</v>
      </c>
      <c r="J132" s="64">
        <f t="shared" si="35"/>
        <v>0</v>
      </c>
      <c r="K132" s="64">
        <f t="shared" si="35"/>
        <v>1210</v>
      </c>
    </row>
    <row r="133" spans="1:11" s="67" customFormat="1" ht="13.5" customHeight="1">
      <c r="A133" s="61" t="s">
        <v>24</v>
      </c>
      <c r="B133" s="62" t="s">
        <v>25</v>
      </c>
      <c r="C133" s="65">
        <v>8111</v>
      </c>
      <c r="D133" s="65">
        <v>0</v>
      </c>
      <c r="E133" s="64">
        <f t="shared" si="33"/>
        <v>8111</v>
      </c>
      <c r="F133" s="65">
        <v>-771</v>
      </c>
      <c r="G133" s="65">
        <v>0</v>
      </c>
      <c r="H133" s="64">
        <f t="shared" si="34"/>
        <v>-771</v>
      </c>
      <c r="I133" s="64">
        <f t="shared" si="35"/>
        <v>7340</v>
      </c>
      <c r="J133" s="64">
        <f t="shared" si="35"/>
        <v>0</v>
      </c>
      <c r="K133" s="64">
        <f t="shared" si="35"/>
        <v>7340</v>
      </c>
    </row>
    <row r="134" spans="1:11" s="67" customFormat="1" ht="15" customHeight="1">
      <c r="A134" s="61" t="s">
        <v>86</v>
      </c>
      <c r="B134" s="62" t="s">
        <v>87</v>
      </c>
      <c r="C134" s="65">
        <v>76230</v>
      </c>
      <c r="D134" s="65">
        <v>0</v>
      </c>
      <c r="E134" s="64">
        <f t="shared" si="33"/>
        <v>76230</v>
      </c>
      <c r="F134" s="65">
        <v>-1615</v>
      </c>
      <c r="G134" s="65">
        <v>0</v>
      </c>
      <c r="H134" s="64">
        <f t="shared" si="34"/>
        <v>-1615</v>
      </c>
      <c r="I134" s="64">
        <f t="shared" si="35"/>
        <v>74615</v>
      </c>
      <c r="J134" s="64">
        <f t="shared" si="35"/>
        <v>0</v>
      </c>
      <c r="K134" s="64">
        <f t="shared" si="35"/>
        <v>74615</v>
      </c>
    </row>
    <row r="135" spans="1:11" s="100" customFormat="1" ht="15" customHeight="1">
      <c r="A135" s="61" t="s">
        <v>48</v>
      </c>
      <c r="B135" s="62" t="s">
        <v>49</v>
      </c>
      <c r="C135" s="65">
        <v>64420</v>
      </c>
      <c r="D135" s="65">
        <v>0</v>
      </c>
      <c r="E135" s="64">
        <f t="shared" si="33"/>
        <v>64420</v>
      </c>
      <c r="F135" s="65">
        <v>-13755</v>
      </c>
      <c r="G135" s="65">
        <v>0</v>
      </c>
      <c r="H135" s="64">
        <f t="shared" si="34"/>
        <v>-13755</v>
      </c>
      <c r="I135" s="64">
        <f t="shared" si="35"/>
        <v>50665</v>
      </c>
      <c r="J135" s="64">
        <f t="shared" si="35"/>
        <v>0</v>
      </c>
      <c r="K135" s="64">
        <f t="shared" si="35"/>
        <v>50665</v>
      </c>
    </row>
    <row r="136" spans="1:11" s="67" customFormat="1" ht="15" customHeight="1">
      <c r="A136" s="61" t="s">
        <v>36</v>
      </c>
      <c r="B136" s="62" t="s">
        <v>37</v>
      </c>
      <c r="C136" s="65">
        <v>26547</v>
      </c>
      <c r="D136" s="65">
        <v>0</v>
      </c>
      <c r="E136" s="64">
        <f t="shared" si="33"/>
        <v>26547</v>
      </c>
      <c r="F136" s="65">
        <v>-2928</v>
      </c>
      <c r="G136" s="65">
        <v>0</v>
      </c>
      <c r="H136" s="64">
        <f t="shared" si="34"/>
        <v>-2928</v>
      </c>
      <c r="I136" s="64">
        <f t="shared" si="35"/>
        <v>23619</v>
      </c>
      <c r="J136" s="64">
        <f t="shared" si="35"/>
        <v>0</v>
      </c>
      <c r="K136" s="64">
        <f t="shared" si="35"/>
        <v>23619</v>
      </c>
    </row>
    <row r="137" spans="1:11" s="67" customFormat="1" ht="15" customHeight="1">
      <c r="A137" s="66" t="s">
        <v>38</v>
      </c>
      <c r="B137" s="67" t="s">
        <v>50</v>
      </c>
      <c r="C137" s="63">
        <v>13500</v>
      </c>
      <c r="D137" s="63">
        <v>0</v>
      </c>
      <c r="E137" s="64">
        <f t="shared" si="33"/>
        <v>13500</v>
      </c>
      <c r="F137" s="65">
        <v>-420</v>
      </c>
      <c r="G137" s="65">
        <v>0</v>
      </c>
      <c r="H137" s="64">
        <f t="shared" si="34"/>
        <v>-420</v>
      </c>
      <c r="I137" s="64">
        <f t="shared" si="35"/>
        <v>13080</v>
      </c>
      <c r="J137" s="64">
        <f t="shared" si="35"/>
        <v>0</v>
      </c>
      <c r="K137" s="64">
        <f t="shared" si="35"/>
        <v>13080</v>
      </c>
    </row>
    <row r="138" spans="1:11" s="29" customFormat="1" ht="15" customHeight="1">
      <c r="A138" s="28">
        <v>85203</v>
      </c>
      <c r="B138" s="29" t="s">
        <v>92</v>
      </c>
      <c r="C138" s="23">
        <v>698928</v>
      </c>
      <c r="D138" s="23">
        <v>277428</v>
      </c>
      <c r="E138" s="24">
        <f t="shared" si="33"/>
        <v>976356</v>
      </c>
      <c r="F138" s="30">
        <f>SUM(F139:F149)</f>
        <v>54304</v>
      </c>
      <c r="G138" s="30">
        <f>SUM(G146:G149)</f>
        <v>0</v>
      </c>
      <c r="H138" s="24">
        <f t="shared" si="34"/>
        <v>54304</v>
      </c>
      <c r="I138" s="24">
        <f t="shared" si="35"/>
        <v>753232</v>
      </c>
      <c r="J138" s="24">
        <f t="shared" si="35"/>
        <v>277428</v>
      </c>
      <c r="K138" s="24">
        <f t="shared" si="35"/>
        <v>1030660</v>
      </c>
    </row>
    <row r="139" spans="1:11" s="62" customFormat="1" ht="14.25" customHeight="1">
      <c r="A139" s="61" t="s">
        <v>45</v>
      </c>
      <c r="B139" s="62" t="s">
        <v>46</v>
      </c>
      <c r="C139" s="63">
        <v>321059</v>
      </c>
      <c r="D139" s="63">
        <v>170000</v>
      </c>
      <c r="E139" s="64">
        <f t="shared" si="33"/>
        <v>491059</v>
      </c>
      <c r="F139" s="65">
        <v>1107</v>
      </c>
      <c r="G139" s="65">
        <v>0</v>
      </c>
      <c r="H139" s="64">
        <f t="shared" si="34"/>
        <v>1107</v>
      </c>
      <c r="I139" s="64">
        <f aca="true" t="shared" si="36" ref="I139:K160">C139+F139</f>
        <v>322166</v>
      </c>
      <c r="J139" s="64">
        <f t="shared" si="36"/>
        <v>170000</v>
      </c>
      <c r="K139" s="64">
        <f t="shared" si="36"/>
        <v>492166</v>
      </c>
    </row>
    <row r="140" spans="1:11" s="119" customFormat="1" ht="15" customHeight="1">
      <c r="A140" s="61" t="s">
        <v>39</v>
      </c>
      <c r="B140" s="62" t="s">
        <v>68</v>
      </c>
      <c r="C140" s="115">
        <v>1259</v>
      </c>
      <c r="D140" s="115">
        <v>13409</v>
      </c>
      <c r="E140" s="64">
        <f t="shared" si="33"/>
        <v>14668</v>
      </c>
      <c r="F140" s="115">
        <v>-1259</v>
      </c>
      <c r="G140" s="115">
        <v>0</v>
      </c>
      <c r="H140" s="64">
        <f t="shared" si="34"/>
        <v>-1259</v>
      </c>
      <c r="I140" s="64">
        <f t="shared" si="36"/>
        <v>0</v>
      </c>
      <c r="J140" s="64">
        <f t="shared" si="36"/>
        <v>13409</v>
      </c>
      <c r="K140" s="64">
        <f t="shared" si="36"/>
        <v>13409</v>
      </c>
    </row>
    <row r="141" spans="1:11" s="62" customFormat="1" ht="13.5" customHeight="1">
      <c r="A141" s="113" t="s">
        <v>31</v>
      </c>
      <c r="B141" s="114" t="s">
        <v>40</v>
      </c>
      <c r="C141" s="63">
        <v>45947</v>
      </c>
      <c r="D141" s="63">
        <v>32000</v>
      </c>
      <c r="E141" s="64">
        <f t="shared" si="33"/>
        <v>77947</v>
      </c>
      <c r="F141" s="65">
        <f>1259+4484</f>
        <v>5743</v>
      </c>
      <c r="G141" s="65">
        <v>0</v>
      </c>
      <c r="H141" s="64">
        <f t="shared" si="34"/>
        <v>5743</v>
      </c>
      <c r="I141" s="64">
        <f t="shared" si="36"/>
        <v>51690</v>
      </c>
      <c r="J141" s="64">
        <f t="shared" si="36"/>
        <v>32000</v>
      </c>
      <c r="K141" s="64">
        <f t="shared" si="36"/>
        <v>83690</v>
      </c>
    </row>
    <row r="142" spans="1:11" s="119" customFormat="1" ht="15" customHeight="1">
      <c r="A142" s="61" t="s">
        <v>32</v>
      </c>
      <c r="B142" s="62" t="s">
        <v>33</v>
      </c>
      <c r="C142" s="115">
        <v>7300</v>
      </c>
      <c r="D142" s="115">
        <v>4400</v>
      </c>
      <c r="E142" s="64">
        <f t="shared" si="33"/>
        <v>11700</v>
      </c>
      <c r="F142" s="115">
        <v>784</v>
      </c>
      <c r="G142" s="115">
        <v>0</v>
      </c>
      <c r="H142" s="64">
        <f t="shared" si="34"/>
        <v>784</v>
      </c>
      <c r="I142" s="64">
        <f t="shared" si="36"/>
        <v>8084</v>
      </c>
      <c r="J142" s="64">
        <f t="shared" si="36"/>
        <v>4400</v>
      </c>
      <c r="K142" s="64">
        <f t="shared" si="36"/>
        <v>12484</v>
      </c>
    </row>
    <row r="143" spans="1:11" s="62" customFormat="1" ht="15" customHeight="1">
      <c r="A143" s="61" t="s">
        <v>34</v>
      </c>
      <c r="B143" s="62" t="s">
        <v>57</v>
      </c>
      <c r="C143" s="63">
        <v>1750</v>
      </c>
      <c r="D143" s="63">
        <v>11000</v>
      </c>
      <c r="E143" s="64">
        <f t="shared" si="33"/>
        <v>12750</v>
      </c>
      <c r="F143" s="65">
        <v>50</v>
      </c>
      <c r="G143" s="65">
        <v>0</v>
      </c>
      <c r="H143" s="64">
        <f t="shared" si="34"/>
        <v>50</v>
      </c>
      <c r="I143" s="64">
        <f t="shared" si="36"/>
        <v>1800</v>
      </c>
      <c r="J143" s="64">
        <f t="shared" si="36"/>
        <v>11000</v>
      </c>
      <c r="K143" s="64">
        <f t="shared" si="36"/>
        <v>12800</v>
      </c>
    </row>
    <row r="144" spans="1:11" s="67" customFormat="1" ht="13.5" customHeight="1">
      <c r="A144" s="61" t="s">
        <v>24</v>
      </c>
      <c r="B144" s="62" t="s">
        <v>25</v>
      </c>
      <c r="C144" s="65">
        <v>26589</v>
      </c>
      <c r="D144" s="65">
        <v>10567</v>
      </c>
      <c r="E144" s="64">
        <f t="shared" si="33"/>
        <v>37156</v>
      </c>
      <c r="F144" s="65">
        <v>1161</v>
      </c>
      <c r="G144" s="65">
        <v>0</v>
      </c>
      <c r="H144" s="64">
        <f t="shared" si="34"/>
        <v>1161</v>
      </c>
      <c r="I144" s="64">
        <f t="shared" si="36"/>
        <v>27750</v>
      </c>
      <c r="J144" s="64">
        <f t="shared" si="36"/>
        <v>10567</v>
      </c>
      <c r="K144" s="64">
        <f t="shared" si="36"/>
        <v>38317</v>
      </c>
    </row>
    <row r="145" spans="1:11" s="67" customFormat="1" ht="15" customHeight="1">
      <c r="A145" s="61" t="s">
        <v>86</v>
      </c>
      <c r="B145" s="62" t="s">
        <v>87</v>
      </c>
      <c r="C145" s="65">
        <v>113770</v>
      </c>
      <c r="D145" s="65">
        <v>0</v>
      </c>
      <c r="E145" s="64">
        <f>SUM(C145:D145)</f>
        <v>113770</v>
      </c>
      <c r="F145" s="65">
        <v>6615</v>
      </c>
      <c r="G145" s="65">
        <v>0</v>
      </c>
      <c r="H145" s="64">
        <f t="shared" si="34"/>
        <v>6615</v>
      </c>
      <c r="I145" s="64">
        <f t="shared" si="36"/>
        <v>120385</v>
      </c>
      <c r="J145" s="64">
        <f t="shared" si="36"/>
        <v>0</v>
      </c>
      <c r="K145" s="64">
        <f t="shared" si="36"/>
        <v>120385</v>
      </c>
    </row>
    <row r="146" spans="1:11" s="67" customFormat="1" ht="15" customHeight="1">
      <c r="A146" s="61" t="s">
        <v>48</v>
      </c>
      <c r="B146" s="62" t="s">
        <v>49</v>
      </c>
      <c r="C146" s="65">
        <v>34580</v>
      </c>
      <c r="D146" s="65">
        <v>14700</v>
      </c>
      <c r="E146" s="64">
        <f>SUM(C146:D146)</f>
        <v>49280</v>
      </c>
      <c r="F146" s="65">
        <v>15755</v>
      </c>
      <c r="G146" s="65">
        <v>0</v>
      </c>
      <c r="H146" s="64">
        <f t="shared" si="34"/>
        <v>15755</v>
      </c>
      <c r="I146" s="64">
        <f t="shared" si="36"/>
        <v>50335</v>
      </c>
      <c r="J146" s="64">
        <f t="shared" si="36"/>
        <v>14700</v>
      </c>
      <c r="K146" s="64">
        <f t="shared" si="36"/>
        <v>65035</v>
      </c>
    </row>
    <row r="147" spans="1:11" s="67" customFormat="1" ht="15" customHeight="1">
      <c r="A147" s="61" t="s">
        <v>36</v>
      </c>
      <c r="B147" s="62" t="s">
        <v>37</v>
      </c>
      <c r="C147" s="65">
        <v>36753</v>
      </c>
      <c r="D147" s="65">
        <v>12000</v>
      </c>
      <c r="E147" s="64">
        <f>SUM(C147:D147)</f>
        <v>48753</v>
      </c>
      <c r="F147" s="65">
        <v>2928</v>
      </c>
      <c r="G147" s="65">
        <v>0</v>
      </c>
      <c r="H147" s="64">
        <f t="shared" si="34"/>
        <v>2928</v>
      </c>
      <c r="I147" s="64">
        <f t="shared" si="36"/>
        <v>39681</v>
      </c>
      <c r="J147" s="64">
        <f t="shared" si="36"/>
        <v>12000</v>
      </c>
      <c r="K147" s="64">
        <f t="shared" si="36"/>
        <v>51681</v>
      </c>
    </row>
    <row r="148" spans="1:11" s="67" customFormat="1" ht="15" customHeight="1">
      <c r="A148" s="66" t="s">
        <v>38</v>
      </c>
      <c r="B148" s="67" t="s">
        <v>50</v>
      </c>
      <c r="C148" s="63">
        <v>4000</v>
      </c>
      <c r="D148" s="63">
        <v>6500</v>
      </c>
      <c r="E148" s="64">
        <f>SUM(C148:D148)</f>
        <v>10500</v>
      </c>
      <c r="F148" s="65">
        <v>420</v>
      </c>
      <c r="G148" s="65">
        <v>0</v>
      </c>
      <c r="H148" s="64">
        <f>F148+G148</f>
        <v>420</v>
      </c>
      <c r="I148" s="64">
        <f>C148+F148</f>
        <v>4420</v>
      </c>
      <c r="J148" s="64">
        <f>D148+G148</f>
        <v>6500</v>
      </c>
      <c r="K148" s="64">
        <f>E148+H148</f>
        <v>10920</v>
      </c>
    </row>
    <row r="149" spans="1:11" s="68" customFormat="1" ht="14.25" customHeight="1">
      <c r="A149" s="128" t="s">
        <v>78</v>
      </c>
      <c r="B149" s="68" t="s">
        <v>79</v>
      </c>
      <c r="C149" s="99">
        <v>0</v>
      </c>
      <c r="D149" s="99">
        <v>0</v>
      </c>
      <c r="E149" s="60">
        <f>SUM(C149:D149)</f>
        <v>0</v>
      </c>
      <c r="F149" s="59">
        <v>21000</v>
      </c>
      <c r="G149" s="59">
        <v>0</v>
      </c>
      <c r="H149" s="60">
        <f t="shared" si="34"/>
        <v>21000</v>
      </c>
      <c r="I149" s="60">
        <f t="shared" si="36"/>
        <v>21000</v>
      </c>
      <c r="J149" s="60">
        <f t="shared" si="36"/>
        <v>0</v>
      </c>
      <c r="K149" s="60">
        <f t="shared" si="36"/>
        <v>21000</v>
      </c>
    </row>
    <row r="150" spans="1:11" s="67" customFormat="1" ht="33.75" customHeight="1">
      <c r="A150" s="66"/>
      <c r="C150" s="63"/>
      <c r="D150" s="63"/>
      <c r="E150" s="64"/>
      <c r="F150" s="65"/>
      <c r="G150" s="65"/>
      <c r="H150" s="64"/>
      <c r="I150" s="64"/>
      <c r="J150" s="64"/>
      <c r="K150" s="64"/>
    </row>
    <row r="151" spans="1:11" s="29" customFormat="1" ht="15" customHeight="1">
      <c r="A151" s="28">
        <v>85212</v>
      </c>
      <c r="B151" s="29" t="s">
        <v>161</v>
      </c>
      <c r="C151" s="23">
        <v>15000</v>
      </c>
      <c r="D151" s="23">
        <v>16791600</v>
      </c>
      <c r="E151" s="24">
        <f aca="true" t="shared" si="37" ref="E151:E157">SUM(C151:D151)</f>
        <v>16806600</v>
      </c>
      <c r="F151" s="30">
        <f>SUM(F152:F155)</f>
        <v>0</v>
      </c>
      <c r="G151" s="30">
        <v>0</v>
      </c>
      <c r="H151" s="24">
        <f aca="true" t="shared" si="38" ref="H151:H158">F151+G151</f>
        <v>0</v>
      </c>
      <c r="I151" s="24">
        <f t="shared" si="36"/>
        <v>15000</v>
      </c>
      <c r="J151" s="24">
        <f t="shared" si="36"/>
        <v>16791600</v>
      </c>
      <c r="K151" s="24">
        <f t="shared" si="36"/>
        <v>16806600</v>
      </c>
    </row>
    <row r="152" spans="1:11" s="67" customFormat="1" ht="15" customHeight="1">
      <c r="A152" s="61" t="s">
        <v>48</v>
      </c>
      <c r="B152" s="62" t="s">
        <v>49</v>
      </c>
      <c r="C152" s="65">
        <v>0</v>
      </c>
      <c r="D152" s="65">
        <v>7163</v>
      </c>
      <c r="E152" s="64">
        <f t="shared" si="37"/>
        <v>7163</v>
      </c>
      <c r="F152" s="65">
        <v>0</v>
      </c>
      <c r="G152" s="65">
        <f>-1530+11530</f>
        <v>10000</v>
      </c>
      <c r="H152" s="64">
        <f t="shared" si="38"/>
        <v>10000</v>
      </c>
      <c r="I152" s="64">
        <f aca="true" t="shared" si="39" ref="I152:K155">C152+F152</f>
        <v>0</v>
      </c>
      <c r="J152" s="64">
        <f t="shared" si="39"/>
        <v>17163</v>
      </c>
      <c r="K152" s="64">
        <f t="shared" si="39"/>
        <v>17163</v>
      </c>
    </row>
    <row r="153" spans="1:11" s="67" customFormat="1" ht="15" customHeight="1">
      <c r="A153" s="61" t="s">
        <v>90</v>
      </c>
      <c r="B153" s="62" t="s">
        <v>91</v>
      </c>
      <c r="C153" s="65">
        <v>0</v>
      </c>
      <c r="D153" s="65">
        <v>10000</v>
      </c>
      <c r="E153" s="64">
        <f t="shared" si="37"/>
        <v>10000</v>
      </c>
      <c r="F153" s="65">
        <v>0</v>
      </c>
      <c r="G153" s="65">
        <v>-10000</v>
      </c>
      <c r="H153" s="64">
        <f t="shared" si="38"/>
        <v>-10000</v>
      </c>
      <c r="I153" s="64">
        <f t="shared" si="39"/>
        <v>0</v>
      </c>
      <c r="J153" s="64">
        <f t="shared" si="39"/>
        <v>0</v>
      </c>
      <c r="K153" s="64">
        <f t="shared" si="39"/>
        <v>0</v>
      </c>
    </row>
    <row r="154" spans="1:11" s="29" customFormat="1" ht="15" customHeight="1">
      <c r="A154" s="28">
        <v>85214</v>
      </c>
      <c r="B154" s="29" t="s">
        <v>154</v>
      </c>
      <c r="C154" s="23">
        <v>3653550</v>
      </c>
      <c r="D154" s="23">
        <v>2716781</v>
      </c>
      <c r="E154" s="24">
        <f t="shared" si="37"/>
        <v>6370331</v>
      </c>
      <c r="F154" s="30">
        <f>SUM(F155:F155)</f>
        <v>0</v>
      </c>
      <c r="G154" s="30">
        <f>G155</f>
        <v>461282</v>
      </c>
      <c r="H154" s="24">
        <f t="shared" si="38"/>
        <v>461282</v>
      </c>
      <c r="I154" s="24">
        <f t="shared" si="39"/>
        <v>3653550</v>
      </c>
      <c r="J154" s="24">
        <f t="shared" si="39"/>
        <v>3178063</v>
      </c>
      <c r="K154" s="24">
        <f t="shared" si="39"/>
        <v>6831613</v>
      </c>
    </row>
    <row r="155" spans="1:11" s="67" customFormat="1" ht="15" customHeight="1">
      <c r="A155" s="61" t="s">
        <v>95</v>
      </c>
      <c r="B155" s="62" t="s">
        <v>155</v>
      </c>
      <c r="C155" s="65">
        <v>3650000</v>
      </c>
      <c r="D155" s="65">
        <v>2716781</v>
      </c>
      <c r="E155" s="64">
        <f t="shared" si="37"/>
        <v>6366781</v>
      </c>
      <c r="F155" s="65">
        <v>0</v>
      </c>
      <c r="G155" s="65">
        <v>461282</v>
      </c>
      <c r="H155" s="64">
        <f t="shared" si="38"/>
        <v>461282</v>
      </c>
      <c r="I155" s="64">
        <f t="shared" si="39"/>
        <v>3650000</v>
      </c>
      <c r="J155" s="64">
        <f t="shared" si="39"/>
        <v>3178063</v>
      </c>
      <c r="K155" s="64">
        <f t="shared" si="39"/>
        <v>6828063</v>
      </c>
    </row>
    <row r="156" spans="1:11" s="29" customFormat="1" ht="15" customHeight="1">
      <c r="A156" s="28">
        <v>85219</v>
      </c>
      <c r="B156" s="29" t="s">
        <v>97</v>
      </c>
      <c r="C156" s="23">
        <v>1325000</v>
      </c>
      <c r="D156" s="23">
        <v>1280103</v>
      </c>
      <c r="E156" s="24">
        <f t="shared" si="37"/>
        <v>2605103</v>
      </c>
      <c r="F156" s="30">
        <f>SUM(F157:F157)</f>
        <v>1168</v>
      </c>
      <c r="G156" s="30">
        <v>0</v>
      </c>
      <c r="H156" s="24">
        <f t="shared" si="38"/>
        <v>1168</v>
      </c>
      <c r="I156" s="24">
        <f t="shared" si="36"/>
        <v>1326168</v>
      </c>
      <c r="J156" s="24">
        <f t="shared" si="36"/>
        <v>1280103</v>
      </c>
      <c r="K156" s="24">
        <f t="shared" si="36"/>
        <v>2606271</v>
      </c>
    </row>
    <row r="157" spans="1:11" s="67" customFormat="1" ht="15" customHeight="1">
      <c r="A157" s="61" t="s">
        <v>36</v>
      </c>
      <c r="B157" s="62" t="s">
        <v>37</v>
      </c>
      <c r="C157" s="65">
        <v>52900</v>
      </c>
      <c r="D157" s="65">
        <v>8150</v>
      </c>
      <c r="E157" s="64">
        <f t="shared" si="37"/>
        <v>61050</v>
      </c>
      <c r="F157" s="65">
        <v>1168</v>
      </c>
      <c r="G157" s="65">
        <v>0</v>
      </c>
      <c r="H157" s="64">
        <f t="shared" si="38"/>
        <v>1168</v>
      </c>
      <c r="I157" s="64">
        <f t="shared" si="36"/>
        <v>54068</v>
      </c>
      <c r="J157" s="64">
        <f t="shared" si="36"/>
        <v>8150</v>
      </c>
      <c r="K157" s="64">
        <f t="shared" si="36"/>
        <v>62218</v>
      </c>
    </row>
    <row r="158" spans="1:11" s="119" customFormat="1" ht="15" customHeight="1">
      <c r="A158" s="113" t="s">
        <v>78</v>
      </c>
      <c r="B158" s="114" t="s">
        <v>79</v>
      </c>
      <c r="C158" s="115">
        <v>0</v>
      </c>
      <c r="D158" s="115">
        <v>0</v>
      </c>
      <c r="E158" s="64">
        <f>SUM(C158:D158)</f>
        <v>0</v>
      </c>
      <c r="F158" s="115">
        <v>12000</v>
      </c>
      <c r="G158" s="115">
        <v>0</v>
      </c>
      <c r="H158" s="64">
        <f t="shared" si="38"/>
        <v>12000</v>
      </c>
      <c r="I158" s="64">
        <f t="shared" si="36"/>
        <v>12000</v>
      </c>
      <c r="J158" s="64">
        <f t="shared" si="36"/>
        <v>0</v>
      </c>
      <c r="K158" s="64">
        <f t="shared" si="36"/>
        <v>12000</v>
      </c>
    </row>
    <row r="159" spans="1:11" s="127" customFormat="1" ht="15" customHeight="1">
      <c r="A159" s="124" t="s">
        <v>108</v>
      </c>
      <c r="B159" s="125" t="s">
        <v>110</v>
      </c>
      <c r="C159" s="126">
        <v>25000</v>
      </c>
      <c r="D159" s="126">
        <v>0</v>
      </c>
      <c r="E159" s="60">
        <f>SUM(C159:D159)</f>
        <v>25000</v>
      </c>
      <c r="F159" s="126">
        <v>-12000</v>
      </c>
      <c r="G159" s="126">
        <v>0</v>
      </c>
      <c r="H159" s="60">
        <f>F159+G159</f>
        <v>-12000</v>
      </c>
      <c r="I159" s="60">
        <f t="shared" si="36"/>
        <v>13000</v>
      </c>
      <c r="J159" s="60">
        <f t="shared" si="36"/>
        <v>0</v>
      </c>
      <c r="K159" s="60">
        <f t="shared" si="36"/>
        <v>13000</v>
      </c>
    </row>
    <row r="160" spans="1:11" s="29" customFormat="1" ht="15" customHeight="1">
      <c r="A160" s="28">
        <v>85228</v>
      </c>
      <c r="B160" s="29" t="s">
        <v>94</v>
      </c>
      <c r="C160" s="23">
        <v>461630</v>
      </c>
      <c r="D160" s="23">
        <v>78500</v>
      </c>
      <c r="E160" s="24">
        <f aca="true" t="shared" si="40" ref="E160:E167">SUM(C160:D160)</f>
        <v>540130</v>
      </c>
      <c r="F160" s="30">
        <f>SUM(F161:F165)</f>
        <v>52000</v>
      </c>
      <c r="G160" s="30">
        <f>SUM(G161:G164)</f>
        <v>0</v>
      </c>
      <c r="H160" s="24">
        <f t="shared" si="34"/>
        <v>52000</v>
      </c>
      <c r="I160" s="24">
        <f t="shared" si="36"/>
        <v>513630</v>
      </c>
      <c r="J160" s="24">
        <f t="shared" si="36"/>
        <v>78500</v>
      </c>
      <c r="K160" s="24">
        <f>E160+H160</f>
        <v>592130</v>
      </c>
    </row>
    <row r="161" spans="1:11" s="62" customFormat="1" ht="15" customHeight="1">
      <c r="A161" s="61" t="s">
        <v>45</v>
      </c>
      <c r="B161" s="62" t="s">
        <v>46</v>
      </c>
      <c r="C161" s="63">
        <v>297780</v>
      </c>
      <c r="D161" s="63">
        <v>49300</v>
      </c>
      <c r="E161" s="64">
        <f t="shared" si="40"/>
        <v>347080</v>
      </c>
      <c r="F161" s="65">
        <v>33000</v>
      </c>
      <c r="G161" s="65">
        <v>0</v>
      </c>
      <c r="H161" s="64">
        <f t="shared" si="34"/>
        <v>33000</v>
      </c>
      <c r="I161" s="64">
        <f aca="true" t="shared" si="41" ref="I161:K167">C161+F161</f>
        <v>330780</v>
      </c>
      <c r="J161" s="64">
        <f t="shared" si="41"/>
        <v>49300</v>
      </c>
      <c r="K161" s="64">
        <f t="shared" si="41"/>
        <v>380080</v>
      </c>
    </row>
    <row r="162" spans="1:11" s="62" customFormat="1" ht="13.5" customHeight="1">
      <c r="A162" s="113" t="s">
        <v>31</v>
      </c>
      <c r="B162" s="114" t="s">
        <v>40</v>
      </c>
      <c r="C162" s="63">
        <v>59700</v>
      </c>
      <c r="D162" s="63">
        <v>10600</v>
      </c>
      <c r="E162" s="64">
        <f t="shared" si="40"/>
        <v>70300</v>
      </c>
      <c r="F162" s="65">
        <v>7000</v>
      </c>
      <c r="G162" s="65">
        <v>0</v>
      </c>
      <c r="H162" s="64">
        <f t="shared" si="34"/>
        <v>7000</v>
      </c>
      <c r="I162" s="64">
        <f t="shared" si="41"/>
        <v>66700</v>
      </c>
      <c r="J162" s="64">
        <f t="shared" si="41"/>
        <v>10600</v>
      </c>
      <c r="K162" s="64">
        <f t="shared" si="41"/>
        <v>77300</v>
      </c>
    </row>
    <row r="163" spans="1:11" s="119" customFormat="1" ht="15" customHeight="1">
      <c r="A163" s="61" t="s">
        <v>32</v>
      </c>
      <c r="B163" s="62" t="s">
        <v>33</v>
      </c>
      <c r="C163" s="115">
        <v>8250</v>
      </c>
      <c r="D163" s="115">
        <v>1400</v>
      </c>
      <c r="E163" s="64">
        <f t="shared" si="40"/>
        <v>9650</v>
      </c>
      <c r="F163" s="115">
        <v>1000</v>
      </c>
      <c r="G163" s="115">
        <v>0</v>
      </c>
      <c r="H163" s="64">
        <f t="shared" si="34"/>
        <v>1000</v>
      </c>
      <c r="I163" s="64">
        <f t="shared" si="41"/>
        <v>9250</v>
      </c>
      <c r="J163" s="64">
        <f t="shared" si="41"/>
        <v>1400</v>
      </c>
      <c r="K163" s="64">
        <f t="shared" si="41"/>
        <v>10650</v>
      </c>
    </row>
    <row r="164" spans="1:11" s="67" customFormat="1" ht="15" customHeight="1">
      <c r="A164" s="61" t="s">
        <v>34</v>
      </c>
      <c r="B164" s="62" t="s">
        <v>57</v>
      </c>
      <c r="C164" s="65">
        <v>28090</v>
      </c>
      <c r="D164" s="65">
        <v>7000</v>
      </c>
      <c r="E164" s="64">
        <f t="shared" si="40"/>
        <v>35090</v>
      </c>
      <c r="F164" s="65">
        <v>10000</v>
      </c>
      <c r="G164" s="65">
        <v>0</v>
      </c>
      <c r="H164" s="64">
        <f t="shared" si="34"/>
        <v>10000</v>
      </c>
      <c r="I164" s="64">
        <f t="shared" si="41"/>
        <v>38090</v>
      </c>
      <c r="J164" s="64">
        <f t="shared" si="41"/>
        <v>7000</v>
      </c>
      <c r="K164" s="64">
        <f t="shared" si="41"/>
        <v>45090</v>
      </c>
    </row>
    <row r="165" spans="1:11" s="67" customFormat="1" ht="15" customHeight="1">
      <c r="A165" s="66" t="s">
        <v>38</v>
      </c>
      <c r="B165" s="67" t="s">
        <v>50</v>
      </c>
      <c r="C165" s="63">
        <v>17200</v>
      </c>
      <c r="D165" s="63">
        <v>2700</v>
      </c>
      <c r="E165" s="64">
        <f t="shared" si="40"/>
        <v>19900</v>
      </c>
      <c r="F165" s="65">
        <v>1000</v>
      </c>
      <c r="G165" s="65">
        <v>0</v>
      </c>
      <c r="H165" s="64">
        <f t="shared" si="34"/>
        <v>1000</v>
      </c>
      <c r="I165" s="64">
        <f t="shared" si="41"/>
        <v>18200</v>
      </c>
      <c r="J165" s="64">
        <f t="shared" si="41"/>
        <v>2700</v>
      </c>
      <c r="K165" s="64">
        <f t="shared" si="41"/>
        <v>20900</v>
      </c>
    </row>
    <row r="166" spans="1:11" s="84" customFormat="1" ht="15" customHeight="1">
      <c r="A166" s="83">
        <v>85295</v>
      </c>
      <c r="B166" s="84" t="s">
        <v>23</v>
      </c>
      <c r="C166" s="85">
        <v>540000</v>
      </c>
      <c r="D166" s="85">
        <v>1028355</v>
      </c>
      <c r="E166" s="24">
        <f t="shared" si="40"/>
        <v>1568355</v>
      </c>
      <c r="F166" s="86">
        <v>0</v>
      </c>
      <c r="G166" s="86">
        <f>SUM(G167:G167)</f>
        <v>5000</v>
      </c>
      <c r="H166" s="24">
        <f t="shared" si="34"/>
        <v>5000</v>
      </c>
      <c r="I166" s="24">
        <f t="shared" si="41"/>
        <v>540000</v>
      </c>
      <c r="J166" s="24">
        <f t="shared" si="41"/>
        <v>1033355</v>
      </c>
      <c r="K166" s="24">
        <f t="shared" si="41"/>
        <v>1573355</v>
      </c>
    </row>
    <row r="167" spans="1:11" s="114" customFormat="1" ht="15" customHeight="1">
      <c r="A167" s="113" t="s">
        <v>95</v>
      </c>
      <c r="B167" s="114" t="s">
        <v>96</v>
      </c>
      <c r="C167" s="121">
        <v>0</v>
      </c>
      <c r="D167" s="121">
        <v>1017981</v>
      </c>
      <c r="E167" s="64">
        <f t="shared" si="40"/>
        <v>1017981</v>
      </c>
      <c r="F167" s="115">
        <v>0</v>
      </c>
      <c r="G167" s="115">
        <v>5000</v>
      </c>
      <c r="H167" s="64">
        <f t="shared" si="34"/>
        <v>5000</v>
      </c>
      <c r="I167" s="64">
        <f t="shared" si="41"/>
        <v>0</v>
      </c>
      <c r="J167" s="64">
        <f t="shared" si="41"/>
        <v>1022981</v>
      </c>
      <c r="K167" s="64">
        <f t="shared" si="41"/>
        <v>1022981</v>
      </c>
    </row>
    <row r="168" spans="1:11" s="36" customFormat="1" ht="15" customHeight="1">
      <c r="A168" s="3" t="s">
        <v>51</v>
      </c>
      <c r="B168" s="15" t="s">
        <v>52</v>
      </c>
      <c r="C168" s="16">
        <v>3297288</v>
      </c>
      <c r="D168" s="16">
        <v>420631</v>
      </c>
      <c r="E168" s="6">
        <f>SUM(C168:D168)</f>
        <v>3717919</v>
      </c>
      <c r="F168" s="16">
        <f>F171+F174</f>
        <v>-20000</v>
      </c>
      <c r="G168" s="16">
        <v>0</v>
      </c>
      <c r="H168" s="6">
        <f>F168+G168</f>
        <v>-20000</v>
      </c>
      <c r="I168" s="6">
        <f>C168+F168</f>
        <v>3277288</v>
      </c>
      <c r="J168" s="6">
        <f>D168+G168</f>
        <v>420631</v>
      </c>
      <c r="K168" s="6">
        <f>E168+H168</f>
        <v>3697919</v>
      </c>
    </row>
    <row r="169" spans="1:11" ht="15" customHeight="1">
      <c r="A169" s="14"/>
      <c r="B169" s="17" t="s">
        <v>10</v>
      </c>
      <c r="C169" s="18"/>
      <c r="D169" s="18"/>
      <c r="E169" s="9"/>
      <c r="F169" s="18"/>
      <c r="G169" s="18"/>
      <c r="H169" s="9"/>
      <c r="I169" s="9"/>
      <c r="J169" s="9"/>
      <c r="K169" s="9"/>
    </row>
    <row r="170" spans="1:11" ht="15" customHeight="1">
      <c r="A170" s="19"/>
      <c r="B170" s="11" t="s">
        <v>60</v>
      </c>
      <c r="C170" s="21">
        <v>0</v>
      </c>
      <c r="D170" s="21">
        <v>0</v>
      </c>
      <c r="E170" s="12">
        <f aca="true" t="shared" si="42" ref="E170:E177">SUM(C170:D170)</f>
        <v>0</v>
      </c>
      <c r="F170" s="21">
        <v>0</v>
      </c>
      <c r="G170" s="21">
        <v>0</v>
      </c>
      <c r="H170" s="12">
        <f aca="true" t="shared" si="43" ref="H170:H177">F170+G170</f>
        <v>0</v>
      </c>
      <c r="I170" s="12">
        <f aca="true" t="shared" si="44" ref="I170:K177">C170+F170</f>
        <v>0</v>
      </c>
      <c r="J170" s="12">
        <f t="shared" si="44"/>
        <v>0</v>
      </c>
      <c r="K170" s="12">
        <f t="shared" si="44"/>
        <v>0</v>
      </c>
    </row>
    <row r="171" spans="1:11" s="7" customFormat="1" ht="15" customHeight="1">
      <c r="A171" s="22">
        <v>85401</v>
      </c>
      <c r="B171" s="7" t="s">
        <v>160</v>
      </c>
      <c r="C171" s="23">
        <v>3088055</v>
      </c>
      <c r="D171" s="23">
        <v>0</v>
      </c>
      <c r="E171" s="24">
        <f t="shared" si="42"/>
        <v>3088055</v>
      </c>
      <c r="F171" s="23">
        <f>SUM(F172:F173)</f>
        <v>0</v>
      </c>
      <c r="G171" s="23">
        <v>0</v>
      </c>
      <c r="H171" s="24">
        <f t="shared" si="43"/>
        <v>0</v>
      </c>
      <c r="I171" s="24">
        <f t="shared" si="44"/>
        <v>3088055</v>
      </c>
      <c r="J171" s="24">
        <f t="shared" si="44"/>
        <v>0</v>
      </c>
      <c r="K171" s="24">
        <f t="shared" si="44"/>
        <v>3088055</v>
      </c>
    </row>
    <row r="172" spans="1:11" s="62" customFormat="1" ht="15" customHeight="1">
      <c r="A172" s="61" t="s">
        <v>45</v>
      </c>
      <c r="B172" s="62" t="s">
        <v>46</v>
      </c>
      <c r="C172" s="63">
        <v>1552176</v>
      </c>
      <c r="D172" s="63">
        <v>0</v>
      </c>
      <c r="E172" s="64">
        <f t="shared" si="42"/>
        <v>1552176</v>
      </c>
      <c r="F172" s="65">
        <v>245</v>
      </c>
      <c r="G172" s="65">
        <v>0</v>
      </c>
      <c r="H172" s="64">
        <f t="shared" si="43"/>
        <v>245</v>
      </c>
      <c r="I172" s="64">
        <f t="shared" si="44"/>
        <v>1552421</v>
      </c>
      <c r="J172" s="64">
        <f t="shared" si="44"/>
        <v>0</v>
      </c>
      <c r="K172" s="64">
        <f t="shared" si="44"/>
        <v>1552421</v>
      </c>
    </row>
    <row r="173" spans="1:11" s="119" customFormat="1" ht="15" customHeight="1">
      <c r="A173" s="61" t="s">
        <v>39</v>
      </c>
      <c r="B173" s="62" t="s">
        <v>68</v>
      </c>
      <c r="C173" s="115">
        <v>123785</v>
      </c>
      <c r="D173" s="115">
        <v>0</v>
      </c>
      <c r="E173" s="64">
        <f t="shared" si="42"/>
        <v>123785</v>
      </c>
      <c r="F173" s="115">
        <v>-245</v>
      </c>
      <c r="G173" s="115">
        <v>0</v>
      </c>
      <c r="H173" s="64">
        <f t="shared" si="43"/>
        <v>-245</v>
      </c>
      <c r="I173" s="64">
        <f t="shared" si="44"/>
        <v>123540</v>
      </c>
      <c r="J173" s="64">
        <f t="shared" si="44"/>
        <v>0</v>
      </c>
      <c r="K173" s="64">
        <f t="shared" si="44"/>
        <v>123540</v>
      </c>
    </row>
    <row r="174" spans="1:11" s="7" customFormat="1" ht="15" customHeight="1">
      <c r="A174" s="22">
        <v>85412</v>
      </c>
      <c r="B174" s="7" t="s">
        <v>123</v>
      </c>
      <c r="C174" s="23">
        <v>73473</v>
      </c>
      <c r="D174" s="23">
        <v>0</v>
      </c>
      <c r="E174" s="24">
        <f t="shared" si="42"/>
        <v>73473</v>
      </c>
      <c r="F174" s="23">
        <f>SUM(F175:F176)</f>
        <v>-20000</v>
      </c>
      <c r="G174" s="23">
        <v>0</v>
      </c>
      <c r="H174" s="24">
        <f t="shared" si="43"/>
        <v>-20000</v>
      </c>
      <c r="I174" s="24">
        <f t="shared" si="44"/>
        <v>53473</v>
      </c>
      <c r="J174" s="24">
        <f t="shared" si="44"/>
        <v>0</v>
      </c>
      <c r="K174" s="24">
        <f t="shared" si="44"/>
        <v>53473</v>
      </c>
    </row>
    <row r="175" spans="1:11" s="119" customFormat="1" ht="15" customHeight="1">
      <c r="A175" s="113" t="s">
        <v>86</v>
      </c>
      <c r="B175" s="114" t="s">
        <v>124</v>
      </c>
      <c r="C175" s="115">
        <v>30263</v>
      </c>
      <c r="D175" s="115">
        <v>0</v>
      </c>
      <c r="E175" s="64">
        <f t="shared" si="42"/>
        <v>30263</v>
      </c>
      <c r="F175" s="115">
        <v>-8000</v>
      </c>
      <c r="G175" s="115">
        <v>0</v>
      </c>
      <c r="H175" s="64">
        <f t="shared" si="43"/>
        <v>-8000</v>
      </c>
      <c r="I175" s="64">
        <f t="shared" si="44"/>
        <v>22263</v>
      </c>
      <c r="J175" s="64">
        <f t="shared" si="44"/>
        <v>0</v>
      </c>
      <c r="K175" s="64">
        <f t="shared" si="44"/>
        <v>22263</v>
      </c>
    </row>
    <row r="176" spans="1:11" s="127" customFormat="1" ht="15" customHeight="1">
      <c r="A176" s="124" t="s">
        <v>36</v>
      </c>
      <c r="B176" s="125" t="s">
        <v>37</v>
      </c>
      <c r="C176" s="126">
        <v>43210</v>
      </c>
      <c r="D176" s="126">
        <v>0</v>
      </c>
      <c r="E176" s="60">
        <f t="shared" si="42"/>
        <v>43210</v>
      </c>
      <c r="F176" s="126">
        <v>-12000</v>
      </c>
      <c r="G176" s="126">
        <v>0</v>
      </c>
      <c r="H176" s="60">
        <f t="shared" si="43"/>
        <v>-12000</v>
      </c>
      <c r="I176" s="60">
        <f t="shared" si="44"/>
        <v>31210</v>
      </c>
      <c r="J176" s="60">
        <f t="shared" si="44"/>
        <v>0</v>
      </c>
      <c r="K176" s="60">
        <f t="shared" si="44"/>
        <v>31210</v>
      </c>
    </row>
    <row r="177" spans="1:11" s="44" customFormat="1" ht="15" customHeight="1">
      <c r="A177" s="40" t="s">
        <v>41</v>
      </c>
      <c r="B177" s="41" t="s">
        <v>42</v>
      </c>
      <c r="C177" s="42">
        <v>11988730</v>
      </c>
      <c r="D177" s="42">
        <v>0</v>
      </c>
      <c r="E177" s="43">
        <f t="shared" si="42"/>
        <v>11988730</v>
      </c>
      <c r="F177" s="42">
        <f>F181</f>
        <v>-192375</v>
      </c>
      <c r="G177" s="42">
        <v>0</v>
      </c>
      <c r="H177" s="43">
        <f t="shared" si="43"/>
        <v>-192375</v>
      </c>
      <c r="I177" s="43">
        <f t="shared" si="44"/>
        <v>11796355</v>
      </c>
      <c r="J177" s="43">
        <f t="shared" si="44"/>
        <v>0</v>
      </c>
      <c r="K177" s="43">
        <f t="shared" si="44"/>
        <v>11796355</v>
      </c>
    </row>
    <row r="178" spans="1:11" s="44" customFormat="1" ht="15" customHeight="1">
      <c r="A178" s="45"/>
      <c r="B178" s="46" t="s">
        <v>10</v>
      </c>
      <c r="C178" s="47"/>
      <c r="D178" s="47"/>
      <c r="E178" s="48"/>
      <c r="F178" s="47"/>
      <c r="G178" s="47"/>
      <c r="H178" s="48"/>
      <c r="I178" s="48"/>
      <c r="J178" s="48"/>
      <c r="K178" s="48"/>
    </row>
    <row r="179" spans="1:11" s="44" customFormat="1" ht="15" customHeight="1">
      <c r="A179" s="45"/>
      <c r="B179" s="8" t="s">
        <v>60</v>
      </c>
      <c r="C179" s="47">
        <v>4980500</v>
      </c>
      <c r="D179" s="47">
        <v>0</v>
      </c>
      <c r="E179" s="48">
        <f aca="true" t="shared" si="45" ref="E179:E187">SUM(C179:D179)</f>
        <v>4980500</v>
      </c>
      <c r="F179" s="47">
        <f>F186</f>
        <v>-194000</v>
      </c>
      <c r="G179" s="47">
        <v>0</v>
      </c>
      <c r="H179" s="48">
        <f aca="true" t="shared" si="46" ref="H179:H187">F179+G179</f>
        <v>-194000</v>
      </c>
      <c r="I179" s="48">
        <f aca="true" t="shared" si="47" ref="I179:K183">C179+F179</f>
        <v>4786500</v>
      </c>
      <c r="J179" s="48">
        <f t="shared" si="47"/>
        <v>0</v>
      </c>
      <c r="K179" s="48">
        <f t="shared" si="47"/>
        <v>4786500</v>
      </c>
    </row>
    <row r="180" spans="1:11" s="95" customFormat="1" ht="15" customHeight="1">
      <c r="A180" s="134"/>
      <c r="B180" s="135"/>
      <c r="C180" s="136"/>
      <c r="D180" s="136"/>
      <c r="E180" s="137"/>
      <c r="F180" s="136"/>
      <c r="G180" s="136"/>
      <c r="H180" s="137"/>
      <c r="I180" s="137"/>
      <c r="J180" s="137"/>
      <c r="K180" s="137"/>
    </row>
    <row r="181" spans="1:11" s="44" customFormat="1" ht="15" customHeight="1">
      <c r="A181" s="61">
        <v>90095</v>
      </c>
      <c r="B181" s="62" t="s">
        <v>23</v>
      </c>
      <c r="C181" s="63">
        <v>6827973</v>
      </c>
      <c r="D181" s="63">
        <v>0</v>
      </c>
      <c r="E181" s="64">
        <f t="shared" si="45"/>
        <v>6827973</v>
      </c>
      <c r="F181" s="65">
        <f>SUM(F182:F186)</f>
        <v>-192375</v>
      </c>
      <c r="G181" s="65">
        <f>SUM(G183:G186)</f>
        <v>0</v>
      </c>
      <c r="H181" s="64">
        <f t="shared" si="46"/>
        <v>-192375</v>
      </c>
      <c r="I181" s="64">
        <f t="shared" si="47"/>
        <v>6635598</v>
      </c>
      <c r="J181" s="64">
        <f t="shared" si="47"/>
        <v>0</v>
      </c>
      <c r="K181" s="64">
        <f t="shared" si="47"/>
        <v>6635598</v>
      </c>
    </row>
    <row r="182" spans="1:11" s="67" customFormat="1" ht="15" customHeight="1">
      <c r="A182" s="61" t="s">
        <v>39</v>
      </c>
      <c r="B182" s="62" t="s">
        <v>47</v>
      </c>
      <c r="C182" s="63">
        <v>12500</v>
      </c>
      <c r="D182" s="63">
        <v>0</v>
      </c>
      <c r="E182" s="64">
        <f t="shared" si="45"/>
        <v>12500</v>
      </c>
      <c r="F182" s="65">
        <v>-508</v>
      </c>
      <c r="G182" s="65">
        <v>0</v>
      </c>
      <c r="H182" s="64">
        <f t="shared" si="46"/>
        <v>-508</v>
      </c>
      <c r="I182" s="64">
        <f t="shared" si="47"/>
        <v>11992</v>
      </c>
      <c r="J182" s="64">
        <f t="shared" si="47"/>
        <v>0</v>
      </c>
      <c r="K182" s="64">
        <f t="shared" si="47"/>
        <v>11992</v>
      </c>
    </row>
    <row r="183" spans="1:11" s="44" customFormat="1" ht="15" customHeight="1">
      <c r="A183" s="61" t="s">
        <v>36</v>
      </c>
      <c r="B183" s="62" t="s">
        <v>37</v>
      </c>
      <c r="C183" s="63">
        <v>1237833</v>
      </c>
      <c r="D183" s="63">
        <v>0</v>
      </c>
      <c r="E183" s="64">
        <f t="shared" si="45"/>
        <v>1237833</v>
      </c>
      <c r="F183" s="65">
        <f>3762-2000-400</f>
        <v>1362</v>
      </c>
      <c r="G183" s="65">
        <v>0</v>
      </c>
      <c r="H183" s="64">
        <f t="shared" si="46"/>
        <v>1362</v>
      </c>
      <c r="I183" s="64">
        <f t="shared" si="47"/>
        <v>1239195</v>
      </c>
      <c r="J183" s="64">
        <f t="shared" si="47"/>
        <v>0</v>
      </c>
      <c r="K183" s="64">
        <f t="shared" si="47"/>
        <v>1239195</v>
      </c>
    </row>
    <row r="184" spans="1:11" s="44" customFormat="1" ht="15" customHeight="1">
      <c r="A184" s="61" t="s">
        <v>135</v>
      </c>
      <c r="B184" s="62" t="s">
        <v>136</v>
      </c>
      <c r="C184" s="63">
        <v>278600</v>
      </c>
      <c r="D184" s="63">
        <v>0</v>
      </c>
      <c r="E184" s="64">
        <f t="shared" si="45"/>
        <v>278600</v>
      </c>
      <c r="F184" s="65">
        <v>400</v>
      </c>
      <c r="G184" s="65">
        <v>0</v>
      </c>
      <c r="H184" s="64">
        <f t="shared" si="46"/>
        <v>400</v>
      </c>
      <c r="I184" s="64">
        <f aca="true" t="shared" si="48" ref="I184:K187">C184+F184</f>
        <v>279000</v>
      </c>
      <c r="J184" s="64">
        <f t="shared" si="48"/>
        <v>0</v>
      </c>
      <c r="K184" s="64">
        <f t="shared" si="48"/>
        <v>279000</v>
      </c>
    </row>
    <row r="185" spans="1:11" s="67" customFormat="1" ht="15" customHeight="1">
      <c r="A185" s="66" t="s">
        <v>38</v>
      </c>
      <c r="B185" s="67" t="s">
        <v>50</v>
      </c>
      <c r="C185" s="63">
        <v>8800</v>
      </c>
      <c r="D185" s="63">
        <v>0</v>
      </c>
      <c r="E185" s="64">
        <f t="shared" si="45"/>
        <v>8800</v>
      </c>
      <c r="F185" s="65">
        <v>371</v>
      </c>
      <c r="G185" s="65">
        <v>0</v>
      </c>
      <c r="H185" s="64">
        <f t="shared" si="46"/>
        <v>371</v>
      </c>
      <c r="I185" s="64">
        <f t="shared" si="48"/>
        <v>9171</v>
      </c>
      <c r="J185" s="64">
        <f t="shared" si="48"/>
        <v>0</v>
      </c>
      <c r="K185" s="64">
        <f t="shared" si="48"/>
        <v>9171</v>
      </c>
    </row>
    <row r="186" spans="1:11" s="32" customFormat="1" ht="15" customHeight="1">
      <c r="A186" s="31" t="s">
        <v>78</v>
      </c>
      <c r="B186" s="32" t="s">
        <v>79</v>
      </c>
      <c r="C186" s="26">
        <v>4425500</v>
      </c>
      <c r="D186" s="26">
        <v>0</v>
      </c>
      <c r="E186" s="27">
        <f t="shared" si="45"/>
        <v>4425500</v>
      </c>
      <c r="F186" s="33">
        <f>-38000-66000-90000</f>
        <v>-194000</v>
      </c>
      <c r="G186" s="33">
        <v>0</v>
      </c>
      <c r="H186" s="27">
        <f t="shared" si="46"/>
        <v>-194000</v>
      </c>
      <c r="I186" s="27">
        <f t="shared" si="48"/>
        <v>4231500</v>
      </c>
      <c r="J186" s="27">
        <f t="shared" si="48"/>
        <v>0</v>
      </c>
      <c r="K186" s="27">
        <f t="shared" si="48"/>
        <v>4231500</v>
      </c>
    </row>
    <row r="187" spans="1:11" s="75" customFormat="1" ht="15" customHeight="1">
      <c r="A187" s="72" t="s">
        <v>26</v>
      </c>
      <c r="B187" s="73" t="s">
        <v>27</v>
      </c>
      <c r="C187" s="74">
        <v>2645270</v>
      </c>
      <c r="D187" s="74">
        <v>39000</v>
      </c>
      <c r="E187" s="6">
        <f t="shared" si="45"/>
        <v>2684270</v>
      </c>
      <c r="F187" s="74">
        <f>F190</f>
        <v>100000</v>
      </c>
      <c r="G187" s="74">
        <v>0</v>
      </c>
      <c r="H187" s="6">
        <f t="shared" si="46"/>
        <v>100000</v>
      </c>
      <c r="I187" s="6">
        <f t="shared" si="48"/>
        <v>2745270</v>
      </c>
      <c r="J187" s="6">
        <f t="shared" si="48"/>
        <v>39000</v>
      </c>
      <c r="K187" s="6">
        <f t="shared" si="48"/>
        <v>2784270</v>
      </c>
    </row>
    <row r="188" spans="1:11" s="79" customFormat="1" ht="15" customHeight="1">
      <c r="A188" s="76"/>
      <c r="B188" s="77" t="s">
        <v>10</v>
      </c>
      <c r="C188" s="78"/>
      <c r="D188" s="78"/>
      <c r="E188" s="9"/>
      <c r="F188" s="78"/>
      <c r="G188" s="78"/>
      <c r="H188" s="9"/>
      <c r="I188" s="9"/>
      <c r="J188" s="9"/>
      <c r="K188" s="9"/>
    </row>
    <row r="189" spans="1:11" s="82" customFormat="1" ht="15" customHeight="1">
      <c r="A189" s="80"/>
      <c r="B189" s="11" t="s">
        <v>60</v>
      </c>
      <c r="C189" s="81">
        <v>200000</v>
      </c>
      <c r="D189" s="81">
        <v>34000</v>
      </c>
      <c r="E189" s="12">
        <f>SUM(C189:D189)</f>
        <v>234000</v>
      </c>
      <c r="F189" s="81">
        <v>0</v>
      </c>
      <c r="G189" s="81">
        <v>0</v>
      </c>
      <c r="H189" s="12">
        <f>F189+G189</f>
        <v>0</v>
      </c>
      <c r="I189" s="12">
        <f aca="true" t="shared" si="49" ref="I189:K192">C189+F189</f>
        <v>200000</v>
      </c>
      <c r="J189" s="12">
        <f t="shared" si="49"/>
        <v>34000</v>
      </c>
      <c r="K189" s="12">
        <f t="shared" si="49"/>
        <v>234000</v>
      </c>
    </row>
    <row r="190" spans="1:11" s="84" customFormat="1" ht="15" customHeight="1">
      <c r="A190" s="83">
        <v>92195</v>
      </c>
      <c r="B190" s="84" t="s">
        <v>23</v>
      </c>
      <c r="C190" s="85">
        <v>663580</v>
      </c>
      <c r="D190" s="85">
        <v>5000</v>
      </c>
      <c r="E190" s="24">
        <f>SUM(C190:D190)</f>
        <v>668580</v>
      </c>
      <c r="F190" s="86">
        <f>SUM(F191:F192)</f>
        <v>100000</v>
      </c>
      <c r="G190" s="86">
        <v>0</v>
      </c>
      <c r="H190" s="24">
        <f>F190+G190</f>
        <v>100000</v>
      </c>
      <c r="I190" s="24">
        <f t="shared" si="49"/>
        <v>763580</v>
      </c>
      <c r="J190" s="24">
        <f t="shared" si="49"/>
        <v>5000</v>
      </c>
      <c r="K190" s="24">
        <f t="shared" si="49"/>
        <v>768580</v>
      </c>
    </row>
    <row r="191" spans="1:11" s="120" customFormat="1" ht="15" customHeight="1">
      <c r="A191" s="129" t="s">
        <v>140</v>
      </c>
      <c r="B191" s="120" t="s">
        <v>141</v>
      </c>
      <c r="C191" s="89">
        <v>25000</v>
      </c>
      <c r="D191" s="89">
        <v>0</v>
      </c>
      <c r="E191" s="27">
        <f>SUM(C191:D191)</f>
        <v>25000</v>
      </c>
      <c r="F191" s="89">
        <v>9500</v>
      </c>
      <c r="G191" s="89">
        <v>0</v>
      </c>
      <c r="H191" s="27">
        <f>F191+G191</f>
        <v>9500</v>
      </c>
      <c r="I191" s="27">
        <f t="shared" si="49"/>
        <v>34500</v>
      </c>
      <c r="J191" s="27">
        <f t="shared" si="49"/>
        <v>0</v>
      </c>
      <c r="K191" s="27">
        <f t="shared" si="49"/>
        <v>34500</v>
      </c>
    </row>
    <row r="192" spans="1:11" s="44" customFormat="1" ht="15" customHeight="1">
      <c r="A192" s="61" t="s">
        <v>36</v>
      </c>
      <c r="B192" s="62" t="s">
        <v>37</v>
      </c>
      <c r="C192" s="63">
        <v>459580</v>
      </c>
      <c r="D192" s="63">
        <v>0</v>
      </c>
      <c r="E192" s="64">
        <f>SUM(C192:D192)</f>
        <v>459580</v>
      </c>
      <c r="F192" s="65">
        <f>100000-9500</f>
        <v>90500</v>
      </c>
      <c r="G192" s="65">
        <v>0</v>
      </c>
      <c r="H192" s="64">
        <f>F192+G192</f>
        <v>90500</v>
      </c>
      <c r="I192" s="64">
        <f t="shared" si="49"/>
        <v>550080</v>
      </c>
      <c r="J192" s="64">
        <f t="shared" si="49"/>
        <v>0</v>
      </c>
      <c r="K192" s="64">
        <f t="shared" si="49"/>
        <v>550080</v>
      </c>
    </row>
    <row r="193" spans="1:11" s="75" customFormat="1" ht="15" customHeight="1">
      <c r="A193" s="72" t="s">
        <v>138</v>
      </c>
      <c r="B193" s="73" t="s">
        <v>139</v>
      </c>
      <c r="C193" s="74">
        <v>7218100</v>
      </c>
      <c r="D193" s="74">
        <v>30000</v>
      </c>
      <c r="E193" s="6">
        <f>SUM(C193:D193)</f>
        <v>7248100</v>
      </c>
      <c r="F193" s="74">
        <f>F204+F196</f>
        <v>40000</v>
      </c>
      <c r="G193" s="74">
        <f>G204+G196</f>
        <v>70000</v>
      </c>
      <c r="H193" s="6">
        <f>F193+G193</f>
        <v>110000</v>
      </c>
      <c r="I193" s="6">
        <f>C193+F193</f>
        <v>7258100</v>
      </c>
      <c r="J193" s="6">
        <f>D193+G193</f>
        <v>100000</v>
      </c>
      <c r="K193" s="6">
        <f>E193+H193</f>
        <v>7358100</v>
      </c>
    </row>
    <row r="194" spans="1:11" s="79" customFormat="1" ht="15" customHeight="1">
      <c r="A194" s="76"/>
      <c r="B194" s="77" t="s">
        <v>10</v>
      </c>
      <c r="C194" s="78"/>
      <c r="D194" s="78"/>
      <c r="E194" s="9"/>
      <c r="F194" s="78"/>
      <c r="G194" s="78"/>
      <c r="H194" s="9"/>
      <c r="I194" s="9"/>
      <c r="J194" s="9"/>
      <c r="K194" s="9"/>
    </row>
    <row r="195" spans="1:11" s="82" customFormat="1" ht="15" customHeight="1">
      <c r="A195" s="80"/>
      <c r="B195" s="11" t="s">
        <v>60</v>
      </c>
      <c r="C195" s="81">
        <v>953110</v>
      </c>
      <c r="D195" s="81">
        <v>0</v>
      </c>
      <c r="E195" s="12">
        <f>SUM(C195:D195)</f>
        <v>953110</v>
      </c>
      <c r="F195" s="81">
        <v>0</v>
      </c>
      <c r="G195" s="81">
        <v>0</v>
      </c>
      <c r="H195" s="12">
        <f>F195+G195</f>
        <v>0</v>
      </c>
      <c r="I195" s="12">
        <f aca="true" t="shared" si="50" ref="I195:K205">C195+F195</f>
        <v>953110</v>
      </c>
      <c r="J195" s="12">
        <f t="shared" si="50"/>
        <v>0</v>
      </c>
      <c r="K195" s="12">
        <f t="shared" si="50"/>
        <v>953110</v>
      </c>
    </row>
    <row r="196" spans="1:11" s="29" customFormat="1" ht="15" customHeight="1">
      <c r="A196" s="28">
        <v>92604</v>
      </c>
      <c r="B196" s="29" t="s">
        <v>153</v>
      </c>
      <c r="C196" s="23">
        <v>4817100</v>
      </c>
      <c r="D196" s="23">
        <v>30000</v>
      </c>
      <c r="E196" s="24">
        <f aca="true" t="shared" si="51" ref="E196:E203">SUM(C196:D196)</f>
        <v>4847100</v>
      </c>
      <c r="F196" s="30">
        <f>SUM(F197:F203)</f>
        <v>10000</v>
      </c>
      <c r="G196" s="30">
        <f>SUM(G197:G203)</f>
        <v>-30000</v>
      </c>
      <c r="H196" s="24">
        <f aca="true" t="shared" si="52" ref="H196:H203">F196+G196</f>
        <v>-20000</v>
      </c>
      <c r="I196" s="24">
        <f t="shared" si="50"/>
        <v>4827100</v>
      </c>
      <c r="J196" s="24">
        <f t="shared" si="50"/>
        <v>0</v>
      </c>
      <c r="K196" s="24">
        <f t="shared" si="50"/>
        <v>4827100</v>
      </c>
    </row>
    <row r="197" spans="1:11" s="67" customFormat="1" ht="15" customHeight="1">
      <c r="A197" s="61" t="s">
        <v>31</v>
      </c>
      <c r="B197" s="62" t="s">
        <v>40</v>
      </c>
      <c r="C197" s="65">
        <v>301950</v>
      </c>
      <c r="D197" s="65">
        <v>1360</v>
      </c>
      <c r="E197" s="64">
        <f t="shared" si="51"/>
        <v>303310</v>
      </c>
      <c r="F197" s="65">
        <v>0</v>
      </c>
      <c r="G197" s="65">
        <v>-1360</v>
      </c>
      <c r="H197" s="64">
        <f t="shared" si="52"/>
        <v>-1360</v>
      </c>
      <c r="I197" s="64">
        <f t="shared" si="50"/>
        <v>301950</v>
      </c>
      <c r="J197" s="64">
        <f t="shared" si="50"/>
        <v>0</v>
      </c>
      <c r="K197" s="64">
        <f t="shared" si="50"/>
        <v>301950</v>
      </c>
    </row>
    <row r="198" spans="1:11" s="120" customFormat="1" ht="15" customHeight="1">
      <c r="A198" s="129" t="s">
        <v>34</v>
      </c>
      <c r="B198" s="120" t="s">
        <v>57</v>
      </c>
      <c r="C198" s="89">
        <v>109260</v>
      </c>
      <c r="D198" s="89">
        <v>11000</v>
      </c>
      <c r="E198" s="27">
        <f t="shared" si="51"/>
        <v>120260</v>
      </c>
      <c r="F198" s="89">
        <v>0</v>
      </c>
      <c r="G198" s="89">
        <v>-11000</v>
      </c>
      <c r="H198" s="27">
        <f t="shared" si="52"/>
        <v>-11000</v>
      </c>
      <c r="I198" s="27">
        <f t="shared" si="50"/>
        <v>109260</v>
      </c>
      <c r="J198" s="27">
        <f t="shared" si="50"/>
        <v>0</v>
      </c>
      <c r="K198" s="27">
        <f t="shared" si="50"/>
        <v>109260</v>
      </c>
    </row>
    <row r="199" spans="1:11" s="67" customFormat="1" ht="15" customHeight="1">
      <c r="A199" s="61" t="s">
        <v>24</v>
      </c>
      <c r="B199" s="62" t="s">
        <v>25</v>
      </c>
      <c r="C199" s="65">
        <v>274000</v>
      </c>
      <c r="D199" s="65">
        <v>10700</v>
      </c>
      <c r="E199" s="64">
        <f t="shared" si="51"/>
        <v>284700</v>
      </c>
      <c r="F199" s="65">
        <v>8000</v>
      </c>
      <c r="G199" s="65">
        <v>-10700</v>
      </c>
      <c r="H199" s="64">
        <f t="shared" si="52"/>
        <v>-2700</v>
      </c>
      <c r="I199" s="64">
        <f t="shared" si="50"/>
        <v>282000</v>
      </c>
      <c r="J199" s="64">
        <f t="shared" si="50"/>
        <v>0</v>
      </c>
      <c r="K199" s="64">
        <f t="shared" si="50"/>
        <v>282000</v>
      </c>
    </row>
    <row r="200" spans="1:11" s="100" customFormat="1" ht="15" customHeight="1">
      <c r="A200" s="61" t="s">
        <v>48</v>
      </c>
      <c r="B200" s="62" t="s">
        <v>49</v>
      </c>
      <c r="C200" s="65">
        <v>962150</v>
      </c>
      <c r="D200" s="65">
        <v>1400</v>
      </c>
      <c r="E200" s="64">
        <f t="shared" si="51"/>
        <v>963550</v>
      </c>
      <c r="F200" s="65">
        <v>0</v>
      </c>
      <c r="G200" s="65">
        <v>-1400</v>
      </c>
      <c r="H200" s="64">
        <f t="shared" si="52"/>
        <v>-1400</v>
      </c>
      <c r="I200" s="64">
        <f t="shared" si="50"/>
        <v>962150</v>
      </c>
      <c r="J200" s="64">
        <f t="shared" si="50"/>
        <v>0</v>
      </c>
      <c r="K200" s="64">
        <f t="shared" si="50"/>
        <v>962150</v>
      </c>
    </row>
    <row r="201" spans="1:11" s="88" customFormat="1" ht="15" customHeight="1">
      <c r="A201" s="87" t="s">
        <v>36</v>
      </c>
      <c r="B201" s="88" t="s">
        <v>37</v>
      </c>
      <c r="C201" s="89">
        <v>276950</v>
      </c>
      <c r="D201" s="89">
        <v>3200</v>
      </c>
      <c r="E201" s="27">
        <f t="shared" si="51"/>
        <v>280150</v>
      </c>
      <c r="F201" s="90">
        <v>1500</v>
      </c>
      <c r="G201" s="90">
        <v>-3200</v>
      </c>
      <c r="H201" s="27">
        <f t="shared" si="52"/>
        <v>-1700</v>
      </c>
      <c r="I201" s="27">
        <f t="shared" si="50"/>
        <v>278450</v>
      </c>
      <c r="J201" s="27">
        <f t="shared" si="50"/>
        <v>0</v>
      </c>
      <c r="K201" s="27">
        <f t="shared" si="50"/>
        <v>278450</v>
      </c>
    </row>
    <row r="202" spans="1:11" s="67" customFormat="1" ht="15" customHeight="1">
      <c r="A202" s="66" t="s">
        <v>76</v>
      </c>
      <c r="B202" s="67" t="s">
        <v>77</v>
      </c>
      <c r="C202" s="63">
        <v>3000</v>
      </c>
      <c r="D202" s="63">
        <v>2340</v>
      </c>
      <c r="E202" s="64">
        <f>SUM(C202:D202)</f>
        <v>5340</v>
      </c>
      <c r="F202" s="65">
        <v>0</v>
      </c>
      <c r="G202" s="65">
        <v>-2340</v>
      </c>
      <c r="H202" s="64">
        <f>F202+G202</f>
        <v>-2340</v>
      </c>
      <c r="I202" s="64">
        <f>C202+F202</f>
        <v>3000</v>
      </c>
      <c r="J202" s="64">
        <f>D202+G202</f>
        <v>0</v>
      </c>
      <c r="K202" s="64">
        <f>E202+H202</f>
        <v>3000</v>
      </c>
    </row>
    <row r="203" spans="1:11" s="67" customFormat="1" ht="15" customHeight="1">
      <c r="A203" s="66" t="s">
        <v>135</v>
      </c>
      <c r="B203" s="67" t="s">
        <v>136</v>
      </c>
      <c r="C203" s="63">
        <v>21500</v>
      </c>
      <c r="D203" s="63">
        <v>0</v>
      </c>
      <c r="E203" s="64">
        <f t="shared" si="51"/>
        <v>21500</v>
      </c>
      <c r="F203" s="65">
        <v>500</v>
      </c>
      <c r="G203" s="65">
        <v>0</v>
      </c>
      <c r="H203" s="64">
        <f t="shared" si="52"/>
        <v>500</v>
      </c>
      <c r="I203" s="64">
        <f t="shared" si="50"/>
        <v>22000</v>
      </c>
      <c r="J203" s="64">
        <f t="shared" si="50"/>
        <v>0</v>
      </c>
      <c r="K203" s="64">
        <f t="shared" si="50"/>
        <v>22000</v>
      </c>
    </row>
    <row r="204" spans="1:11" s="84" customFormat="1" ht="15" customHeight="1">
      <c r="A204" s="83">
        <v>92695</v>
      </c>
      <c r="B204" s="84" t="s">
        <v>23</v>
      </c>
      <c r="C204" s="85">
        <v>559000</v>
      </c>
      <c r="D204" s="85">
        <v>0</v>
      </c>
      <c r="E204" s="24">
        <f>SUM(C204:D204)</f>
        <v>559000</v>
      </c>
      <c r="F204" s="86">
        <f>SUM(F205:F212)</f>
        <v>30000</v>
      </c>
      <c r="G204" s="86">
        <f>SUM(G205:G212)</f>
        <v>100000</v>
      </c>
      <c r="H204" s="24">
        <f>F204+G204</f>
        <v>130000</v>
      </c>
      <c r="I204" s="24">
        <f t="shared" si="50"/>
        <v>589000</v>
      </c>
      <c r="J204" s="24">
        <f t="shared" si="50"/>
        <v>100000</v>
      </c>
      <c r="K204" s="24">
        <f t="shared" si="50"/>
        <v>689000</v>
      </c>
    </row>
    <row r="205" spans="1:11" s="120" customFormat="1" ht="15" customHeight="1">
      <c r="A205" s="129" t="s">
        <v>140</v>
      </c>
      <c r="B205" s="120" t="s">
        <v>141</v>
      </c>
      <c r="C205" s="89">
        <v>50000</v>
      </c>
      <c r="D205" s="89">
        <v>0</v>
      </c>
      <c r="E205" s="27">
        <f>SUM(C205:D205)</f>
        <v>50000</v>
      </c>
      <c r="F205" s="89">
        <v>40000</v>
      </c>
      <c r="G205" s="89">
        <v>0</v>
      </c>
      <c r="H205" s="27">
        <f>F205+G205</f>
        <v>40000</v>
      </c>
      <c r="I205" s="27">
        <f t="shared" si="50"/>
        <v>90000</v>
      </c>
      <c r="J205" s="27">
        <f t="shared" si="50"/>
        <v>0</v>
      </c>
      <c r="K205" s="27">
        <f t="shared" si="50"/>
        <v>90000</v>
      </c>
    </row>
    <row r="206" spans="1:11" s="67" customFormat="1" ht="15" customHeight="1">
      <c r="A206" s="61" t="s">
        <v>31</v>
      </c>
      <c r="B206" s="62" t="s">
        <v>40</v>
      </c>
      <c r="C206" s="65">
        <v>0</v>
      </c>
      <c r="D206" s="65">
        <v>0</v>
      </c>
      <c r="E206" s="64">
        <f aca="true" t="shared" si="53" ref="E206:E212">SUM(C206:D206)</f>
        <v>0</v>
      </c>
      <c r="F206" s="65">
        <v>0</v>
      </c>
      <c r="G206" s="65">
        <f>1360+10290</f>
        <v>11650</v>
      </c>
      <c r="H206" s="64">
        <f aca="true" t="shared" si="54" ref="H206:H212">F206+G206</f>
        <v>11650</v>
      </c>
      <c r="I206" s="64">
        <f aca="true" t="shared" si="55" ref="I206:I212">C206+F206</f>
        <v>0</v>
      </c>
      <c r="J206" s="64">
        <f aca="true" t="shared" si="56" ref="J206:J212">D206+G206</f>
        <v>11650</v>
      </c>
      <c r="K206" s="64">
        <f aca="true" t="shared" si="57" ref="K206:K212">E206+H206</f>
        <v>11650</v>
      </c>
    </row>
    <row r="207" spans="1:11" s="119" customFormat="1" ht="15" customHeight="1">
      <c r="A207" s="61" t="s">
        <v>32</v>
      </c>
      <c r="B207" s="62" t="s">
        <v>33</v>
      </c>
      <c r="C207" s="115">
        <v>0</v>
      </c>
      <c r="D207" s="115">
        <v>0</v>
      </c>
      <c r="E207" s="64">
        <f>SUM(C207:D207)</f>
        <v>0</v>
      </c>
      <c r="F207" s="115">
        <v>0</v>
      </c>
      <c r="G207" s="115">
        <v>1320</v>
      </c>
      <c r="H207" s="64">
        <f t="shared" si="54"/>
        <v>1320</v>
      </c>
      <c r="I207" s="64">
        <f t="shared" si="55"/>
        <v>0</v>
      </c>
      <c r="J207" s="64">
        <f t="shared" si="56"/>
        <v>1320</v>
      </c>
      <c r="K207" s="64">
        <f t="shared" si="57"/>
        <v>1320</v>
      </c>
    </row>
    <row r="208" spans="1:11" s="120" customFormat="1" ht="15" customHeight="1">
      <c r="A208" s="129" t="s">
        <v>34</v>
      </c>
      <c r="B208" s="120" t="s">
        <v>57</v>
      </c>
      <c r="C208" s="89">
        <v>10000</v>
      </c>
      <c r="D208" s="89">
        <v>0</v>
      </c>
      <c r="E208" s="27">
        <f t="shared" si="53"/>
        <v>10000</v>
      </c>
      <c r="F208" s="89">
        <v>0</v>
      </c>
      <c r="G208" s="89">
        <f>11000+58390</f>
        <v>69390</v>
      </c>
      <c r="H208" s="27">
        <f t="shared" si="54"/>
        <v>69390</v>
      </c>
      <c r="I208" s="27">
        <f t="shared" si="55"/>
        <v>10000</v>
      </c>
      <c r="J208" s="27">
        <f t="shared" si="56"/>
        <v>69390</v>
      </c>
      <c r="K208" s="27">
        <f t="shared" si="57"/>
        <v>79390</v>
      </c>
    </row>
    <row r="209" spans="1:11" s="67" customFormat="1" ht="15" customHeight="1">
      <c r="A209" s="61" t="s">
        <v>24</v>
      </c>
      <c r="B209" s="62" t="s">
        <v>25</v>
      </c>
      <c r="C209" s="65">
        <v>32800</v>
      </c>
      <c r="D209" s="65">
        <v>0</v>
      </c>
      <c r="E209" s="64">
        <f t="shared" si="53"/>
        <v>32800</v>
      </c>
      <c r="F209" s="65">
        <v>-5000</v>
      </c>
      <c r="G209" s="65">
        <v>10700</v>
      </c>
      <c r="H209" s="64">
        <f t="shared" si="54"/>
        <v>5700</v>
      </c>
      <c r="I209" s="64">
        <f t="shared" si="55"/>
        <v>27800</v>
      </c>
      <c r="J209" s="64">
        <f t="shared" si="56"/>
        <v>10700</v>
      </c>
      <c r="K209" s="64">
        <f t="shared" si="57"/>
        <v>38500</v>
      </c>
    </row>
    <row r="210" spans="1:11" s="68" customFormat="1" ht="15" customHeight="1">
      <c r="A210" s="57" t="s">
        <v>48</v>
      </c>
      <c r="B210" s="58" t="s">
        <v>49</v>
      </c>
      <c r="C210" s="59">
        <v>0</v>
      </c>
      <c r="D210" s="59">
        <v>0</v>
      </c>
      <c r="E210" s="60">
        <f t="shared" si="53"/>
        <v>0</v>
      </c>
      <c r="F210" s="59">
        <v>0</v>
      </c>
      <c r="G210" s="59">
        <v>1400</v>
      </c>
      <c r="H210" s="60">
        <f t="shared" si="54"/>
        <v>1400</v>
      </c>
      <c r="I210" s="60">
        <f t="shared" si="55"/>
        <v>0</v>
      </c>
      <c r="J210" s="60">
        <f t="shared" si="56"/>
        <v>1400</v>
      </c>
      <c r="K210" s="60">
        <f t="shared" si="57"/>
        <v>1400</v>
      </c>
    </row>
    <row r="211" spans="1:11" s="88" customFormat="1" ht="15" customHeight="1">
      <c r="A211" s="87" t="s">
        <v>36</v>
      </c>
      <c r="B211" s="88" t="s">
        <v>37</v>
      </c>
      <c r="C211" s="89">
        <v>236200</v>
      </c>
      <c r="D211" s="89">
        <v>0</v>
      </c>
      <c r="E211" s="27">
        <f t="shared" si="53"/>
        <v>236200</v>
      </c>
      <c r="F211" s="90">
        <v>-5000</v>
      </c>
      <c r="G211" s="90">
        <v>3200</v>
      </c>
      <c r="H211" s="27">
        <f t="shared" si="54"/>
        <v>-1800</v>
      </c>
      <c r="I211" s="27">
        <f t="shared" si="55"/>
        <v>231200</v>
      </c>
      <c r="J211" s="27">
        <f t="shared" si="56"/>
        <v>3200</v>
      </c>
      <c r="K211" s="27">
        <f t="shared" si="57"/>
        <v>234400</v>
      </c>
    </row>
    <row r="212" spans="1:11" s="67" customFormat="1" ht="15" customHeight="1">
      <c r="A212" s="66" t="s">
        <v>76</v>
      </c>
      <c r="B212" s="67" t="s">
        <v>77</v>
      </c>
      <c r="C212" s="63">
        <v>0</v>
      </c>
      <c r="D212" s="63">
        <v>0</v>
      </c>
      <c r="E212" s="64">
        <f t="shared" si="53"/>
        <v>0</v>
      </c>
      <c r="F212" s="65">
        <v>0</v>
      </c>
      <c r="G212" s="65">
        <v>2340</v>
      </c>
      <c r="H212" s="64">
        <f t="shared" si="54"/>
        <v>2340</v>
      </c>
      <c r="I212" s="64">
        <f t="shared" si="55"/>
        <v>0</v>
      </c>
      <c r="J212" s="64">
        <f t="shared" si="56"/>
        <v>2340</v>
      </c>
      <c r="K212" s="64">
        <f t="shared" si="57"/>
        <v>2340</v>
      </c>
    </row>
    <row r="213" spans="1:11" s="35" customFormat="1" ht="25.5" customHeight="1">
      <c r="A213" s="139" t="s">
        <v>16</v>
      </c>
      <c r="B213" s="140"/>
      <c r="C213" s="140"/>
      <c r="D213" s="140"/>
      <c r="E213" s="140"/>
      <c r="F213" s="140"/>
      <c r="G213" s="140"/>
      <c r="H213" s="140"/>
      <c r="I213" s="140"/>
      <c r="J213" s="140"/>
      <c r="K213" s="141"/>
    </row>
    <row r="214" spans="1:11" s="36" customFormat="1" ht="15" customHeight="1">
      <c r="A214" s="3" t="s">
        <v>17</v>
      </c>
      <c r="B214" s="15" t="s">
        <v>14</v>
      </c>
      <c r="C214" s="16">
        <v>62025019</v>
      </c>
      <c r="D214" s="16">
        <v>17561305</v>
      </c>
      <c r="E214" s="6">
        <f>SUM(C214:D214)</f>
        <v>79586324</v>
      </c>
      <c r="F214" s="16">
        <f>F222+F234+F240+F286+F275+F280+F302</f>
        <v>308798</v>
      </c>
      <c r="G214" s="16">
        <f>G222+G234+G240+G286+G275+G280+G217</f>
        <v>408000</v>
      </c>
      <c r="H214" s="6">
        <f>F214+G214</f>
        <v>716798</v>
      </c>
      <c r="I214" s="6">
        <f>C214+F214</f>
        <v>62333817</v>
      </c>
      <c r="J214" s="6">
        <f>D214+G214</f>
        <v>17969305</v>
      </c>
      <c r="K214" s="6">
        <f>E214+H214</f>
        <v>80303122</v>
      </c>
    </row>
    <row r="215" spans="1:11" s="34" customFormat="1" ht="15" customHeight="1">
      <c r="A215" s="14"/>
      <c r="B215" s="17" t="s">
        <v>15</v>
      </c>
      <c r="C215" s="18"/>
      <c r="D215" s="18"/>
      <c r="E215" s="18"/>
      <c r="F215" s="18"/>
      <c r="G215" s="18"/>
      <c r="H215" s="9"/>
      <c r="I215" s="9"/>
      <c r="J215" s="9"/>
      <c r="K215" s="9"/>
    </row>
    <row r="216" spans="1:11" s="37" customFormat="1" ht="15" customHeight="1">
      <c r="A216" s="19"/>
      <c r="B216" s="11" t="s">
        <v>60</v>
      </c>
      <c r="C216" s="21">
        <v>8516500</v>
      </c>
      <c r="D216" s="21">
        <v>8187359</v>
      </c>
      <c r="E216" s="12">
        <f>SUM(C216:D216)</f>
        <v>16703859</v>
      </c>
      <c r="F216" s="21">
        <f>F224+F236+F242+F288+F277+F282+F304</f>
        <v>303640</v>
      </c>
      <c r="G216" s="21">
        <f>G224+G236+G242+G288+G277+G282+G304+G219</f>
        <v>481000</v>
      </c>
      <c r="H216" s="12">
        <f>F216+G216</f>
        <v>784640</v>
      </c>
      <c r="I216" s="12">
        <f aca="true" t="shared" si="58" ref="I216:K217">C216+F216</f>
        <v>8820140</v>
      </c>
      <c r="J216" s="12">
        <f t="shared" si="58"/>
        <v>8668359</v>
      </c>
      <c r="K216" s="12">
        <f t="shared" si="58"/>
        <v>17488499</v>
      </c>
    </row>
    <row r="217" spans="1:11" s="36" customFormat="1" ht="15" customHeight="1">
      <c r="A217" s="3" t="s">
        <v>106</v>
      </c>
      <c r="B217" s="15" t="s">
        <v>107</v>
      </c>
      <c r="C217" s="16">
        <v>0</v>
      </c>
      <c r="D217" s="16">
        <v>0</v>
      </c>
      <c r="E217" s="6">
        <f>SUM(C217:D217)</f>
        <v>0</v>
      </c>
      <c r="F217" s="16">
        <v>0</v>
      </c>
      <c r="G217" s="16">
        <v>8000</v>
      </c>
      <c r="H217" s="6">
        <f>F217+G217</f>
        <v>8000</v>
      </c>
      <c r="I217" s="6">
        <f t="shared" si="58"/>
        <v>0</v>
      </c>
      <c r="J217" s="6">
        <f t="shared" si="58"/>
        <v>8000</v>
      </c>
      <c r="K217" s="6">
        <f t="shared" si="58"/>
        <v>8000</v>
      </c>
    </row>
    <row r="218" spans="1:11" s="34" customFormat="1" ht="12.75" customHeight="1">
      <c r="A218" s="14"/>
      <c r="B218" s="17" t="s">
        <v>10</v>
      </c>
      <c r="C218" s="18"/>
      <c r="D218" s="18"/>
      <c r="E218" s="9"/>
      <c r="F218" s="18"/>
      <c r="G218" s="18"/>
      <c r="H218" s="9"/>
      <c r="I218" s="9"/>
      <c r="J218" s="9"/>
      <c r="K218" s="9"/>
    </row>
    <row r="219" spans="1:11" s="37" customFormat="1" ht="15" customHeight="1">
      <c r="A219" s="19"/>
      <c r="B219" s="11" t="s">
        <v>60</v>
      </c>
      <c r="C219" s="21">
        <v>0</v>
      </c>
      <c r="D219" s="21">
        <v>0</v>
      </c>
      <c r="E219" s="12">
        <f>SUM(C219:D219)</f>
        <v>0</v>
      </c>
      <c r="F219" s="21">
        <v>0</v>
      </c>
      <c r="G219" s="21">
        <v>8000</v>
      </c>
      <c r="H219" s="12">
        <f>F219+G219</f>
        <v>8000</v>
      </c>
      <c r="I219" s="12">
        <f aca="true" t="shared" si="59" ref="I219:K221">C219+F219</f>
        <v>0</v>
      </c>
      <c r="J219" s="12">
        <f t="shared" si="59"/>
        <v>8000</v>
      </c>
      <c r="K219" s="12">
        <f t="shared" si="59"/>
        <v>8000</v>
      </c>
    </row>
    <row r="220" spans="1:11" s="29" customFormat="1" ht="14.25" customHeight="1">
      <c r="A220" s="123" t="s">
        <v>109</v>
      </c>
      <c r="B220" s="29" t="s">
        <v>23</v>
      </c>
      <c r="C220" s="23">
        <v>0</v>
      </c>
      <c r="D220" s="23">
        <v>0</v>
      </c>
      <c r="E220" s="24">
        <f>SUM(C220:D220)</f>
        <v>0</v>
      </c>
      <c r="F220" s="30">
        <f>SUM(F221:F221)</f>
        <v>0</v>
      </c>
      <c r="G220" s="30">
        <v>8000</v>
      </c>
      <c r="H220" s="24">
        <f>F220+G220</f>
        <v>8000</v>
      </c>
      <c r="I220" s="24">
        <f t="shared" si="59"/>
        <v>0</v>
      </c>
      <c r="J220" s="24">
        <f t="shared" si="59"/>
        <v>8000</v>
      </c>
      <c r="K220" s="24">
        <f t="shared" si="59"/>
        <v>8000</v>
      </c>
    </row>
    <row r="221" spans="1:11" s="62" customFormat="1" ht="15" customHeight="1">
      <c r="A221" s="61" t="s">
        <v>108</v>
      </c>
      <c r="B221" s="62" t="s">
        <v>110</v>
      </c>
      <c r="C221" s="63">
        <v>0</v>
      </c>
      <c r="D221" s="63">
        <v>0</v>
      </c>
      <c r="E221" s="64">
        <f>SUM(C221:D221)</f>
        <v>0</v>
      </c>
      <c r="F221" s="65">
        <v>0</v>
      </c>
      <c r="G221" s="65">
        <v>8000</v>
      </c>
      <c r="H221" s="64">
        <f>F221+G221</f>
        <v>8000</v>
      </c>
      <c r="I221" s="64">
        <f t="shared" si="59"/>
        <v>0</v>
      </c>
      <c r="J221" s="64">
        <f t="shared" si="59"/>
        <v>8000</v>
      </c>
      <c r="K221" s="64">
        <f t="shared" si="59"/>
        <v>8000</v>
      </c>
    </row>
    <row r="222" spans="1:11" s="7" customFormat="1" ht="15" customHeight="1">
      <c r="A222" s="3" t="s">
        <v>53</v>
      </c>
      <c r="B222" s="15" t="s">
        <v>54</v>
      </c>
      <c r="C222" s="16">
        <v>11718500</v>
      </c>
      <c r="D222" s="16">
        <v>8156359</v>
      </c>
      <c r="E222" s="6">
        <f>SUM(C222:D222)</f>
        <v>19874859</v>
      </c>
      <c r="F222" s="16">
        <f>F225</f>
        <v>-187856</v>
      </c>
      <c r="G222" s="16">
        <f>G225</f>
        <v>400000</v>
      </c>
      <c r="H222" s="6">
        <f>F222+G222</f>
        <v>212144</v>
      </c>
      <c r="I222" s="6">
        <f>C222+F222</f>
        <v>11530644</v>
      </c>
      <c r="J222" s="6">
        <f>D222+G222</f>
        <v>8556359</v>
      </c>
      <c r="K222" s="6">
        <f>E222+H222</f>
        <v>20087003</v>
      </c>
    </row>
    <row r="223" spans="1:11" s="10" customFormat="1" ht="12.75" customHeight="1">
      <c r="A223" s="14"/>
      <c r="B223" s="17" t="s">
        <v>10</v>
      </c>
      <c r="C223" s="18"/>
      <c r="D223" s="18"/>
      <c r="E223" s="9"/>
      <c r="F223" s="18"/>
      <c r="G223" s="18"/>
      <c r="H223" s="9"/>
      <c r="I223" s="9"/>
      <c r="J223" s="9"/>
      <c r="K223" s="9"/>
    </row>
    <row r="224" spans="1:11" s="13" customFormat="1" ht="15" customHeight="1">
      <c r="A224" s="19"/>
      <c r="B224" s="20" t="s">
        <v>11</v>
      </c>
      <c r="C224" s="21">
        <v>6482500</v>
      </c>
      <c r="D224" s="21">
        <v>8156359</v>
      </c>
      <c r="E224" s="12">
        <f aca="true" t="shared" si="60" ref="E224:E234">SUM(C224:D224)</f>
        <v>14638859</v>
      </c>
      <c r="F224" s="21">
        <f>F233+F231+F232</f>
        <v>-269791</v>
      </c>
      <c r="G224" s="21">
        <f>G233+G231+G232</f>
        <v>400000</v>
      </c>
      <c r="H224" s="12">
        <f aca="true" t="shared" si="61" ref="H224:H234">F224+G224</f>
        <v>130209</v>
      </c>
      <c r="I224" s="12">
        <f aca="true" t="shared" si="62" ref="I224:K225">C224+F224</f>
        <v>6212709</v>
      </c>
      <c r="J224" s="12">
        <f t="shared" si="62"/>
        <v>8556359</v>
      </c>
      <c r="K224" s="12">
        <f t="shared" si="62"/>
        <v>14769068</v>
      </c>
    </row>
    <row r="225" spans="1:11" s="29" customFormat="1" ht="15" customHeight="1">
      <c r="A225" s="28">
        <v>60015</v>
      </c>
      <c r="B225" s="29" t="s">
        <v>58</v>
      </c>
      <c r="C225" s="23">
        <v>11717500</v>
      </c>
      <c r="D225" s="23">
        <v>8156359</v>
      </c>
      <c r="E225" s="24">
        <f t="shared" si="60"/>
        <v>19873859</v>
      </c>
      <c r="F225" s="30">
        <f>SUM(F226:F233)</f>
        <v>-187856</v>
      </c>
      <c r="G225" s="30">
        <f>SUM(G226:G233)</f>
        <v>400000</v>
      </c>
      <c r="H225" s="24">
        <f t="shared" si="61"/>
        <v>212144</v>
      </c>
      <c r="I225" s="24">
        <f t="shared" si="62"/>
        <v>11529644</v>
      </c>
      <c r="J225" s="24">
        <f t="shared" si="62"/>
        <v>8556359</v>
      </c>
      <c r="K225" s="24">
        <f t="shared" si="62"/>
        <v>20086003</v>
      </c>
    </row>
    <row r="226" spans="1:11" s="62" customFormat="1" ht="15" customHeight="1">
      <c r="A226" s="61" t="s">
        <v>39</v>
      </c>
      <c r="B226" s="62" t="s">
        <v>47</v>
      </c>
      <c r="C226" s="63">
        <v>41500</v>
      </c>
      <c r="D226" s="63">
        <v>0</v>
      </c>
      <c r="E226" s="64">
        <f t="shared" si="60"/>
        <v>41500</v>
      </c>
      <c r="F226" s="65">
        <v>-44</v>
      </c>
      <c r="G226" s="65">
        <v>0</v>
      </c>
      <c r="H226" s="64">
        <f t="shared" si="61"/>
        <v>-44</v>
      </c>
      <c r="I226" s="64">
        <f aca="true" t="shared" si="63" ref="I226:K234">C226+F226</f>
        <v>41456</v>
      </c>
      <c r="J226" s="64">
        <f t="shared" si="63"/>
        <v>0</v>
      </c>
      <c r="K226" s="64">
        <f t="shared" si="63"/>
        <v>41456</v>
      </c>
    </row>
    <row r="227" spans="1:11" s="67" customFormat="1" ht="15" customHeight="1">
      <c r="A227" s="61" t="s">
        <v>24</v>
      </c>
      <c r="B227" s="62" t="s">
        <v>25</v>
      </c>
      <c r="C227" s="65">
        <v>90300</v>
      </c>
      <c r="D227" s="65">
        <v>0</v>
      </c>
      <c r="E227" s="64">
        <f t="shared" si="60"/>
        <v>90300</v>
      </c>
      <c r="F227" s="65">
        <v>8300</v>
      </c>
      <c r="G227" s="65">
        <v>0</v>
      </c>
      <c r="H227" s="64">
        <f t="shared" si="61"/>
        <v>8300</v>
      </c>
      <c r="I227" s="64">
        <f t="shared" si="63"/>
        <v>98600</v>
      </c>
      <c r="J227" s="64">
        <f t="shared" si="63"/>
        <v>0</v>
      </c>
      <c r="K227" s="64">
        <f t="shared" si="63"/>
        <v>98600</v>
      </c>
    </row>
    <row r="228" spans="1:11" s="67" customFormat="1" ht="15" customHeight="1">
      <c r="A228" s="61" t="s">
        <v>90</v>
      </c>
      <c r="B228" s="62" t="s">
        <v>91</v>
      </c>
      <c r="C228" s="65">
        <v>2805000</v>
      </c>
      <c r="D228" s="65">
        <v>0</v>
      </c>
      <c r="E228" s="64">
        <f>SUM(C228:D228)</f>
        <v>2805000</v>
      </c>
      <c r="F228" s="65">
        <v>100000</v>
      </c>
      <c r="G228" s="65">
        <v>0</v>
      </c>
      <c r="H228" s="64">
        <f>F228+G228</f>
        <v>100000</v>
      </c>
      <c r="I228" s="64">
        <f>C228+F228</f>
        <v>2905000</v>
      </c>
      <c r="J228" s="64">
        <f>D228+G228</f>
        <v>0</v>
      </c>
      <c r="K228" s="64">
        <f>E228+H228</f>
        <v>2905000</v>
      </c>
    </row>
    <row r="229" spans="1:11" s="67" customFormat="1" ht="15" customHeight="1">
      <c r="A229" s="61" t="s">
        <v>36</v>
      </c>
      <c r="B229" s="62" t="s">
        <v>37</v>
      </c>
      <c r="C229" s="65">
        <v>1466000</v>
      </c>
      <c r="D229" s="65">
        <v>0</v>
      </c>
      <c r="E229" s="64">
        <f t="shared" si="60"/>
        <v>1466000</v>
      </c>
      <c r="F229" s="65">
        <v>-26800</v>
      </c>
      <c r="G229" s="65">
        <v>0</v>
      </c>
      <c r="H229" s="64">
        <f t="shared" si="61"/>
        <v>-26800</v>
      </c>
      <c r="I229" s="64">
        <f t="shared" si="63"/>
        <v>1439200</v>
      </c>
      <c r="J229" s="64">
        <f t="shared" si="63"/>
        <v>0</v>
      </c>
      <c r="K229" s="64">
        <f t="shared" si="63"/>
        <v>1439200</v>
      </c>
    </row>
    <row r="230" spans="1:11" s="67" customFormat="1" ht="15" customHeight="1">
      <c r="A230" s="66" t="s">
        <v>38</v>
      </c>
      <c r="B230" s="67" t="s">
        <v>50</v>
      </c>
      <c r="C230" s="63">
        <v>14500</v>
      </c>
      <c r="D230" s="63">
        <v>0</v>
      </c>
      <c r="E230" s="64">
        <f t="shared" si="60"/>
        <v>14500</v>
      </c>
      <c r="F230" s="65">
        <v>479</v>
      </c>
      <c r="G230" s="65">
        <v>0</v>
      </c>
      <c r="H230" s="64">
        <f t="shared" si="61"/>
        <v>479</v>
      </c>
      <c r="I230" s="64">
        <f t="shared" si="63"/>
        <v>14979</v>
      </c>
      <c r="J230" s="64">
        <f t="shared" si="63"/>
        <v>0</v>
      </c>
      <c r="K230" s="64">
        <f t="shared" si="63"/>
        <v>14979</v>
      </c>
    </row>
    <row r="231" spans="1:11" s="32" customFormat="1" ht="15" customHeight="1">
      <c r="A231" s="31" t="s">
        <v>78</v>
      </c>
      <c r="B231" s="32" t="s">
        <v>79</v>
      </c>
      <c r="C231" s="26">
        <v>3055000</v>
      </c>
      <c r="D231" s="26">
        <v>0</v>
      </c>
      <c r="E231" s="27">
        <f t="shared" si="60"/>
        <v>3055000</v>
      </c>
      <c r="F231" s="33">
        <f>100000+46000</f>
        <v>146000</v>
      </c>
      <c r="G231" s="33">
        <v>0</v>
      </c>
      <c r="H231" s="27">
        <f t="shared" si="61"/>
        <v>146000</v>
      </c>
      <c r="I231" s="27">
        <f t="shared" si="63"/>
        <v>3201000</v>
      </c>
      <c r="J231" s="27">
        <f t="shared" si="63"/>
        <v>0</v>
      </c>
      <c r="K231" s="27">
        <f t="shared" si="63"/>
        <v>3201000</v>
      </c>
    </row>
    <row r="232" spans="1:11" s="32" customFormat="1" ht="15" customHeight="1">
      <c r="A232" s="31" t="s">
        <v>158</v>
      </c>
      <c r="B232" s="32" t="s">
        <v>159</v>
      </c>
      <c r="C232" s="26">
        <v>400000</v>
      </c>
      <c r="D232" s="26">
        <v>8156359</v>
      </c>
      <c r="E232" s="27">
        <f>SUM(C232:D232)</f>
        <v>8556359</v>
      </c>
      <c r="F232" s="33">
        <v>-400000</v>
      </c>
      <c r="G232" s="33">
        <v>400000</v>
      </c>
      <c r="H232" s="27">
        <f>F232+G232</f>
        <v>0</v>
      </c>
      <c r="I232" s="27">
        <f>C232+F232</f>
        <v>0</v>
      </c>
      <c r="J232" s="27">
        <f>D232+G232</f>
        <v>8556359</v>
      </c>
      <c r="K232" s="27">
        <f>E232+H232</f>
        <v>8556359</v>
      </c>
    </row>
    <row r="233" spans="1:11" s="32" customFormat="1" ht="15" customHeight="1">
      <c r="A233" s="31" t="s">
        <v>108</v>
      </c>
      <c r="B233" s="32" t="s">
        <v>110</v>
      </c>
      <c r="C233" s="26">
        <v>118500</v>
      </c>
      <c r="D233" s="26">
        <v>0</v>
      </c>
      <c r="E233" s="27">
        <f>SUM(C233:D233)</f>
        <v>118500</v>
      </c>
      <c r="F233" s="33">
        <v>-15791</v>
      </c>
      <c r="G233" s="33">
        <v>0</v>
      </c>
      <c r="H233" s="27">
        <f t="shared" si="61"/>
        <v>-15791</v>
      </c>
      <c r="I233" s="27">
        <f t="shared" si="63"/>
        <v>102709</v>
      </c>
      <c r="J233" s="27">
        <f t="shared" si="63"/>
        <v>0</v>
      </c>
      <c r="K233" s="27">
        <f t="shared" si="63"/>
        <v>102709</v>
      </c>
    </row>
    <row r="234" spans="1:11" s="7" customFormat="1" ht="15" customHeight="1">
      <c r="A234" s="3" t="s">
        <v>98</v>
      </c>
      <c r="B234" s="15" t="s">
        <v>99</v>
      </c>
      <c r="C234" s="16">
        <v>76917</v>
      </c>
      <c r="D234" s="16">
        <v>41386</v>
      </c>
      <c r="E234" s="6">
        <f t="shared" si="60"/>
        <v>118303</v>
      </c>
      <c r="F234" s="16">
        <f>F237</f>
        <v>0</v>
      </c>
      <c r="G234" s="16">
        <f>G237</f>
        <v>0</v>
      </c>
      <c r="H234" s="6">
        <f t="shared" si="61"/>
        <v>0</v>
      </c>
      <c r="I234" s="6">
        <f t="shared" si="63"/>
        <v>76917</v>
      </c>
      <c r="J234" s="6">
        <f t="shared" si="63"/>
        <v>41386</v>
      </c>
      <c r="K234" s="6">
        <f t="shared" si="63"/>
        <v>118303</v>
      </c>
    </row>
    <row r="235" spans="1:11" s="10" customFormat="1" ht="15" customHeight="1">
      <c r="A235" s="14"/>
      <c r="B235" s="17" t="s">
        <v>10</v>
      </c>
      <c r="C235" s="18"/>
      <c r="D235" s="18"/>
      <c r="E235" s="9"/>
      <c r="F235" s="18"/>
      <c r="G235" s="18"/>
      <c r="H235" s="9"/>
      <c r="I235" s="9"/>
      <c r="J235" s="9"/>
      <c r="K235" s="9"/>
    </row>
    <row r="236" spans="1:11" s="13" customFormat="1" ht="15" customHeight="1">
      <c r="A236" s="19"/>
      <c r="B236" s="11" t="s">
        <v>60</v>
      </c>
      <c r="C236" s="21">
        <v>0</v>
      </c>
      <c r="D236" s="21">
        <v>0</v>
      </c>
      <c r="E236" s="12">
        <f>SUM(C236:D236)</f>
        <v>0</v>
      </c>
      <c r="F236" s="21">
        <v>0</v>
      </c>
      <c r="G236" s="21">
        <v>0</v>
      </c>
      <c r="H236" s="12">
        <f>F236+G236</f>
        <v>0</v>
      </c>
      <c r="I236" s="12">
        <f aca="true" t="shared" si="64" ref="I236:K238">C236+F236</f>
        <v>0</v>
      </c>
      <c r="J236" s="12">
        <f t="shared" si="64"/>
        <v>0</v>
      </c>
      <c r="K236" s="12">
        <f t="shared" si="64"/>
        <v>0</v>
      </c>
    </row>
    <row r="237" spans="1:11" s="29" customFormat="1" ht="15" customHeight="1">
      <c r="A237" s="28">
        <v>70005</v>
      </c>
      <c r="B237" s="29" t="s">
        <v>133</v>
      </c>
      <c r="C237" s="23">
        <v>76917</v>
      </c>
      <c r="D237" s="23">
        <v>41386</v>
      </c>
      <c r="E237" s="24">
        <f>SUM(C237:D237)</f>
        <v>118303</v>
      </c>
      <c r="F237" s="30">
        <f>SUM(F238:F238)</f>
        <v>0</v>
      </c>
      <c r="G237" s="30">
        <f>SUM(G238:G239)</f>
        <v>0</v>
      </c>
      <c r="H237" s="24">
        <f>F237+G237</f>
        <v>0</v>
      </c>
      <c r="I237" s="24">
        <f t="shared" si="64"/>
        <v>76917</v>
      </c>
      <c r="J237" s="24">
        <f t="shared" si="64"/>
        <v>41386</v>
      </c>
      <c r="K237" s="24">
        <f t="shared" si="64"/>
        <v>118303</v>
      </c>
    </row>
    <row r="238" spans="1:11" s="32" customFormat="1" ht="15" customHeight="1">
      <c r="A238" s="31" t="s">
        <v>36</v>
      </c>
      <c r="B238" s="32" t="s">
        <v>37</v>
      </c>
      <c r="C238" s="26">
        <v>15000</v>
      </c>
      <c r="D238" s="26">
        <v>37386</v>
      </c>
      <c r="E238" s="27">
        <f>SUM(C238:D238)</f>
        <v>52386</v>
      </c>
      <c r="F238" s="33">
        <v>0</v>
      </c>
      <c r="G238" s="33">
        <v>-7139</v>
      </c>
      <c r="H238" s="27">
        <f>F238+G238</f>
        <v>-7139</v>
      </c>
      <c r="I238" s="27">
        <f t="shared" si="64"/>
        <v>15000</v>
      </c>
      <c r="J238" s="27">
        <f t="shared" si="64"/>
        <v>30247</v>
      </c>
      <c r="K238" s="27">
        <f t="shared" si="64"/>
        <v>45247</v>
      </c>
    </row>
    <row r="239" spans="1:11" s="70" customFormat="1" ht="15" customHeight="1">
      <c r="A239" s="69" t="s">
        <v>22</v>
      </c>
      <c r="B239" s="70" t="s">
        <v>134</v>
      </c>
      <c r="C239" s="38">
        <v>30000</v>
      </c>
      <c r="D239" s="38">
        <v>0</v>
      </c>
      <c r="E239" s="39">
        <f>SUM(C239:D239)</f>
        <v>30000</v>
      </c>
      <c r="F239" s="71">
        <v>0</v>
      </c>
      <c r="G239" s="71">
        <v>7139</v>
      </c>
      <c r="H239" s="39">
        <f>F239+G239</f>
        <v>7139</v>
      </c>
      <c r="I239" s="39">
        <f aca="true" t="shared" si="65" ref="I239:K240">C239+F239</f>
        <v>30000</v>
      </c>
      <c r="J239" s="39">
        <f t="shared" si="65"/>
        <v>7139</v>
      </c>
      <c r="K239" s="39">
        <f t="shared" si="65"/>
        <v>37139</v>
      </c>
    </row>
    <row r="240" spans="1:11" s="7" customFormat="1" ht="18.75" customHeight="1">
      <c r="A240" s="3" t="s">
        <v>43</v>
      </c>
      <c r="B240" s="15" t="s">
        <v>44</v>
      </c>
      <c r="C240" s="16">
        <v>31116708</v>
      </c>
      <c r="D240" s="16">
        <v>289364</v>
      </c>
      <c r="E240" s="6">
        <f>SUM(C240:D240)</f>
        <v>31406072</v>
      </c>
      <c r="F240" s="16">
        <f>F243+F254+F259+F270</f>
        <v>77190</v>
      </c>
      <c r="G240" s="16">
        <v>0</v>
      </c>
      <c r="H240" s="6">
        <f>F240+G240</f>
        <v>77190</v>
      </c>
      <c r="I240" s="6">
        <f t="shared" si="65"/>
        <v>31193898</v>
      </c>
      <c r="J240" s="6">
        <f t="shared" si="65"/>
        <v>289364</v>
      </c>
      <c r="K240" s="6">
        <f t="shared" si="65"/>
        <v>31483262</v>
      </c>
    </row>
    <row r="241" spans="1:11" s="10" customFormat="1" ht="15" customHeight="1">
      <c r="A241" s="14"/>
      <c r="B241" s="17" t="s">
        <v>10</v>
      </c>
      <c r="C241" s="18"/>
      <c r="D241" s="18"/>
      <c r="E241" s="9"/>
      <c r="F241" s="18"/>
      <c r="G241" s="18"/>
      <c r="H241" s="9"/>
      <c r="I241" s="9"/>
      <c r="J241" s="9"/>
      <c r="K241" s="9"/>
    </row>
    <row r="242" spans="1:11" s="13" customFormat="1" ht="15" customHeight="1">
      <c r="A242" s="19"/>
      <c r="B242" s="11" t="s">
        <v>60</v>
      </c>
      <c r="C242" s="21">
        <v>100000</v>
      </c>
      <c r="D242" s="21">
        <v>0</v>
      </c>
      <c r="E242" s="12">
        <f aca="true" t="shared" si="66" ref="E242:E286">SUM(C242:D242)</f>
        <v>100000</v>
      </c>
      <c r="F242" s="21">
        <f>F268</f>
        <v>20000</v>
      </c>
      <c r="G242" s="21">
        <v>0</v>
      </c>
      <c r="H242" s="12">
        <f aca="true" t="shared" si="67" ref="H242:H252">F242+G242</f>
        <v>20000</v>
      </c>
      <c r="I242" s="12">
        <f>C242+F242</f>
        <v>120000</v>
      </c>
      <c r="J242" s="12">
        <f>D242+G242</f>
        <v>0</v>
      </c>
      <c r="K242" s="12">
        <f>E242+H242</f>
        <v>120000</v>
      </c>
    </row>
    <row r="243" spans="1:11" ht="13.5" customHeight="1">
      <c r="A243" s="31">
        <v>80120</v>
      </c>
      <c r="B243" s="32" t="s">
        <v>101</v>
      </c>
      <c r="C243" s="33">
        <v>11649969</v>
      </c>
      <c r="D243" s="33">
        <v>0</v>
      </c>
      <c r="E243" s="27">
        <f t="shared" si="66"/>
        <v>11649969</v>
      </c>
      <c r="F243" s="33">
        <f>SUM(F244:F253)</f>
        <v>28290</v>
      </c>
      <c r="G243" s="33">
        <f>SUM(G244:G250)</f>
        <v>0</v>
      </c>
      <c r="H243" s="27">
        <f t="shared" si="67"/>
        <v>28290</v>
      </c>
      <c r="I243" s="27">
        <f aca="true" t="shared" si="68" ref="I243:J248">C243+F243</f>
        <v>11678259</v>
      </c>
      <c r="J243" s="27">
        <f t="shared" si="68"/>
        <v>0</v>
      </c>
      <c r="K243" s="27">
        <f>SUM(E243+H243)</f>
        <v>11678259</v>
      </c>
    </row>
    <row r="244" spans="1:11" s="62" customFormat="1" ht="13.5" customHeight="1">
      <c r="A244" s="61" t="s">
        <v>45</v>
      </c>
      <c r="B244" s="62" t="s">
        <v>46</v>
      </c>
      <c r="C244" s="63">
        <v>7177420</v>
      </c>
      <c r="D244" s="63">
        <v>0</v>
      </c>
      <c r="E244" s="64">
        <f t="shared" si="66"/>
        <v>7177420</v>
      </c>
      <c r="F244" s="65">
        <f>479+4725</f>
        <v>5204</v>
      </c>
      <c r="G244" s="65">
        <v>0</v>
      </c>
      <c r="H244" s="64">
        <f t="shared" si="67"/>
        <v>5204</v>
      </c>
      <c r="I244" s="64">
        <f t="shared" si="68"/>
        <v>7182624</v>
      </c>
      <c r="J244" s="64">
        <f t="shared" si="68"/>
        <v>0</v>
      </c>
      <c r="K244" s="64">
        <f>E244+H244</f>
        <v>7182624</v>
      </c>
    </row>
    <row r="245" spans="1:11" s="62" customFormat="1" ht="13.5" customHeight="1">
      <c r="A245" s="61" t="s">
        <v>39</v>
      </c>
      <c r="B245" s="62" t="s">
        <v>68</v>
      </c>
      <c r="C245" s="63">
        <v>570013</v>
      </c>
      <c r="D245" s="63">
        <v>0</v>
      </c>
      <c r="E245" s="64">
        <f t="shared" si="66"/>
        <v>570013</v>
      </c>
      <c r="F245" s="65">
        <f>-479-4725</f>
        <v>-5204</v>
      </c>
      <c r="G245" s="65">
        <v>0</v>
      </c>
      <c r="H245" s="64">
        <f t="shared" si="67"/>
        <v>-5204</v>
      </c>
      <c r="I245" s="64">
        <f t="shared" si="68"/>
        <v>564809</v>
      </c>
      <c r="J245" s="64">
        <f t="shared" si="68"/>
        <v>0</v>
      </c>
      <c r="K245" s="64">
        <f>E245+H245</f>
        <v>564809</v>
      </c>
    </row>
    <row r="246" spans="1:11" s="67" customFormat="1" ht="15" customHeight="1">
      <c r="A246" s="61" t="s">
        <v>24</v>
      </c>
      <c r="B246" s="62" t="s">
        <v>25</v>
      </c>
      <c r="C246" s="65">
        <v>134386</v>
      </c>
      <c r="D246" s="65">
        <v>0</v>
      </c>
      <c r="E246" s="64">
        <f t="shared" si="66"/>
        <v>134386</v>
      </c>
      <c r="F246" s="65">
        <f>-5097+500+3000</f>
        <v>-1597</v>
      </c>
      <c r="G246" s="65">
        <v>0</v>
      </c>
      <c r="H246" s="64">
        <f t="shared" si="67"/>
        <v>-1597</v>
      </c>
      <c r="I246" s="64">
        <f t="shared" si="68"/>
        <v>132789</v>
      </c>
      <c r="J246" s="64">
        <f t="shared" si="68"/>
        <v>0</v>
      </c>
      <c r="K246" s="64">
        <f>E246+H246</f>
        <v>132789</v>
      </c>
    </row>
    <row r="247" spans="1:11" s="10" customFormat="1" ht="13.5" customHeight="1">
      <c r="A247" s="25" t="s">
        <v>69</v>
      </c>
      <c r="B247" s="10" t="s">
        <v>70</v>
      </c>
      <c r="C247" s="26">
        <v>45000</v>
      </c>
      <c r="D247" s="26">
        <v>0</v>
      </c>
      <c r="E247" s="27">
        <f t="shared" si="66"/>
        <v>45000</v>
      </c>
      <c r="F247" s="117">
        <v>-6000</v>
      </c>
      <c r="G247" s="26">
        <v>0</v>
      </c>
      <c r="H247" s="27">
        <f t="shared" si="67"/>
        <v>-6000</v>
      </c>
      <c r="I247" s="27">
        <f t="shared" si="68"/>
        <v>39000</v>
      </c>
      <c r="J247" s="27">
        <f t="shared" si="68"/>
        <v>0</v>
      </c>
      <c r="K247" s="27">
        <f>E247+H247</f>
        <v>39000</v>
      </c>
    </row>
    <row r="248" spans="1:11" s="100" customFormat="1" ht="15" customHeight="1">
      <c r="A248" s="61" t="s">
        <v>48</v>
      </c>
      <c r="B248" s="62" t="s">
        <v>49</v>
      </c>
      <c r="C248" s="65">
        <v>457970</v>
      </c>
      <c r="D248" s="65">
        <v>0</v>
      </c>
      <c r="E248" s="64">
        <f t="shared" si="66"/>
        <v>457970</v>
      </c>
      <c r="F248" s="65">
        <f>500+3000</f>
        <v>3500</v>
      </c>
      <c r="G248" s="65">
        <v>0</v>
      </c>
      <c r="H248" s="64">
        <f t="shared" si="67"/>
        <v>3500</v>
      </c>
      <c r="I248" s="64">
        <f t="shared" si="68"/>
        <v>461470</v>
      </c>
      <c r="J248" s="64">
        <f t="shared" si="68"/>
        <v>0</v>
      </c>
      <c r="K248" s="64">
        <f>E248+H248</f>
        <v>461470</v>
      </c>
    </row>
    <row r="249" spans="1:11" s="44" customFormat="1" ht="15" customHeight="1">
      <c r="A249" s="61" t="s">
        <v>90</v>
      </c>
      <c r="B249" s="62" t="s">
        <v>91</v>
      </c>
      <c r="C249" s="63">
        <v>256430</v>
      </c>
      <c r="D249" s="63">
        <v>0</v>
      </c>
      <c r="E249" s="64">
        <f t="shared" si="66"/>
        <v>256430</v>
      </c>
      <c r="F249" s="65">
        <f>15000+1000</f>
        <v>16000</v>
      </c>
      <c r="G249" s="65">
        <v>0</v>
      </c>
      <c r="H249" s="64">
        <f t="shared" si="67"/>
        <v>16000</v>
      </c>
      <c r="I249" s="64">
        <f aca="true" t="shared" si="69" ref="I249:K252">C249+F249</f>
        <v>272430</v>
      </c>
      <c r="J249" s="64">
        <f t="shared" si="69"/>
        <v>0</v>
      </c>
      <c r="K249" s="64">
        <f t="shared" si="69"/>
        <v>272430</v>
      </c>
    </row>
    <row r="250" spans="1:11" s="67" customFormat="1" ht="15" customHeight="1">
      <c r="A250" s="61" t="s">
        <v>36</v>
      </c>
      <c r="B250" s="62" t="s">
        <v>37</v>
      </c>
      <c r="C250" s="65">
        <v>90515</v>
      </c>
      <c r="D250" s="65">
        <v>0</v>
      </c>
      <c r="E250" s="64">
        <f t="shared" si="66"/>
        <v>90515</v>
      </c>
      <c r="F250" s="65">
        <f>550+1740+3000-2000</f>
        <v>3290</v>
      </c>
      <c r="G250" s="65">
        <v>0</v>
      </c>
      <c r="H250" s="64">
        <f t="shared" si="67"/>
        <v>3290</v>
      </c>
      <c r="I250" s="64">
        <f t="shared" si="69"/>
        <v>93805</v>
      </c>
      <c r="J250" s="64">
        <f t="shared" si="69"/>
        <v>0</v>
      </c>
      <c r="K250" s="64">
        <f t="shared" si="69"/>
        <v>93805</v>
      </c>
    </row>
    <row r="251" spans="1:11" s="79" customFormat="1" ht="15" customHeight="1">
      <c r="A251" s="87" t="s">
        <v>71</v>
      </c>
      <c r="B251" s="88" t="s">
        <v>72</v>
      </c>
      <c r="C251" s="90">
        <v>8900</v>
      </c>
      <c r="D251" s="90">
        <v>0</v>
      </c>
      <c r="E251" s="27">
        <f t="shared" si="66"/>
        <v>8900</v>
      </c>
      <c r="F251" s="90">
        <v>2000</v>
      </c>
      <c r="G251" s="90">
        <v>0</v>
      </c>
      <c r="H251" s="27">
        <f t="shared" si="67"/>
        <v>2000</v>
      </c>
      <c r="I251" s="27">
        <f t="shared" si="69"/>
        <v>10900</v>
      </c>
      <c r="J251" s="27">
        <f t="shared" si="69"/>
        <v>0</v>
      </c>
      <c r="K251" s="27">
        <f t="shared" si="69"/>
        <v>10900</v>
      </c>
    </row>
    <row r="252" spans="1:11" s="67" customFormat="1" ht="15" customHeight="1">
      <c r="A252" s="66" t="s">
        <v>76</v>
      </c>
      <c r="B252" s="67" t="s">
        <v>125</v>
      </c>
      <c r="C252" s="63">
        <v>5000</v>
      </c>
      <c r="D252" s="63">
        <v>0</v>
      </c>
      <c r="E252" s="64">
        <f t="shared" si="66"/>
        <v>5000</v>
      </c>
      <c r="F252" s="65">
        <v>1000</v>
      </c>
      <c r="G252" s="65">
        <v>0</v>
      </c>
      <c r="H252" s="64">
        <f t="shared" si="67"/>
        <v>1000</v>
      </c>
      <c r="I252" s="64">
        <f t="shared" si="69"/>
        <v>6000</v>
      </c>
      <c r="J252" s="64">
        <f t="shared" si="69"/>
        <v>0</v>
      </c>
      <c r="K252" s="64">
        <f t="shared" si="69"/>
        <v>6000</v>
      </c>
    </row>
    <row r="253" spans="1:11" s="67" customFormat="1" ht="15" customHeight="1">
      <c r="A253" s="66" t="s">
        <v>38</v>
      </c>
      <c r="B253" s="67" t="s">
        <v>50</v>
      </c>
      <c r="C253" s="63">
        <v>497100</v>
      </c>
      <c r="D253" s="63">
        <v>0</v>
      </c>
      <c r="E253" s="64">
        <f t="shared" si="66"/>
        <v>497100</v>
      </c>
      <c r="F253" s="65">
        <v>10097</v>
      </c>
      <c r="G253" s="65">
        <v>0</v>
      </c>
      <c r="H253" s="64">
        <f aca="true" t="shared" si="70" ref="H253:H258">F253+G253</f>
        <v>10097</v>
      </c>
      <c r="I253" s="64">
        <f>C253+F253</f>
        <v>507197</v>
      </c>
      <c r="J253" s="64">
        <f>D253+G253</f>
        <v>0</v>
      </c>
      <c r="K253" s="64">
        <f>E253+H253</f>
        <v>507197</v>
      </c>
    </row>
    <row r="254" spans="1:11" ht="13.5" customHeight="1">
      <c r="A254" s="28">
        <v>80123</v>
      </c>
      <c r="B254" s="29" t="s">
        <v>127</v>
      </c>
      <c r="C254" s="30">
        <v>1148600</v>
      </c>
      <c r="D254" s="30">
        <v>0</v>
      </c>
      <c r="E254" s="24">
        <f t="shared" si="66"/>
        <v>1148600</v>
      </c>
      <c r="F254" s="30">
        <f>SUM(F255:F258)</f>
        <v>1027</v>
      </c>
      <c r="G254" s="30">
        <f>SUM(G255:G261)</f>
        <v>0</v>
      </c>
      <c r="H254" s="24">
        <f t="shared" si="70"/>
        <v>1027</v>
      </c>
      <c r="I254" s="24">
        <f aca="true" t="shared" si="71" ref="I254:I262">C254+F254</f>
        <v>1149627</v>
      </c>
      <c r="J254" s="24">
        <f aca="true" t="shared" si="72" ref="J254:J262">D254+G254</f>
        <v>0</v>
      </c>
      <c r="K254" s="24">
        <f>SUM(E254+H254)</f>
        <v>1149627</v>
      </c>
    </row>
    <row r="255" spans="1:11" s="62" customFormat="1" ht="13.5" customHeight="1">
      <c r="A255" s="61" t="s">
        <v>45</v>
      </c>
      <c r="B255" s="62" t="s">
        <v>46</v>
      </c>
      <c r="C255" s="63">
        <v>787500</v>
      </c>
      <c r="D255" s="63">
        <v>0</v>
      </c>
      <c r="E255" s="64">
        <f t="shared" si="66"/>
        <v>787500</v>
      </c>
      <c r="F255" s="65">
        <v>645</v>
      </c>
      <c r="G255" s="65">
        <v>0</v>
      </c>
      <c r="H255" s="64">
        <f t="shared" si="70"/>
        <v>645</v>
      </c>
      <c r="I255" s="64">
        <f t="shared" si="71"/>
        <v>788145</v>
      </c>
      <c r="J255" s="64">
        <f t="shared" si="72"/>
        <v>0</v>
      </c>
      <c r="K255" s="64">
        <f aca="true" t="shared" si="73" ref="K255:K262">E255+H255</f>
        <v>788145</v>
      </c>
    </row>
    <row r="256" spans="1:11" s="62" customFormat="1" ht="13.5" customHeight="1">
      <c r="A256" s="61" t="s">
        <v>39</v>
      </c>
      <c r="B256" s="62" t="s">
        <v>68</v>
      </c>
      <c r="C256" s="63">
        <v>66650</v>
      </c>
      <c r="D256" s="63">
        <v>0</v>
      </c>
      <c r="E256" s="64">
        <f t="shared" si="66"/>
        <v>66650</v>
      </c>
      <c r="F256" s="65">
        <f>-645-73</f>
        <v>-718</v>
      </c>
      <c r="G256" s="65">
        <v>0</v>
      </c>
      <c r="H256" s="64">
        <f t="shared" si="70"/>
        <v>-718</v>
      </c>
      <c r="I256" s="64">
        <f t="shared" si="71"/>
        <v>65932</v>
      </c>
      <c r="J256" s="64">
        <f t="shared" si="72"/>
        <v>0</v>
      </c>
      <c r="K256" s="64">
        <f t="shared" si="73"/>
        <v>65932</v>
      </c>
    </row>
    <row r="257" spans="1:11" s="10" customFormat="1" ht="13.5" customHeight="1">
      <c r="A257" s="25" t="s">
        <v>69</v>
      </c>
      <c r="B257" s="10" t="s">
        <v>70</v>
      </c>
      <c r="C257" s="26">
        <v>500</v>
      </c>
      <c r="D257" s="26">
        <v>0</v>
      </c>
      <c r="E257" s="27">
        <f t="shared" si="66"/>
        <v>500</v>
      </c>
      <c r="F257" s="117">
        <v>500</v>
      </c>
      <c r="G257" s="26">
        <v>0</v>
      </c>
      <c r="H257" s="27">
        <f t="shared" si="70"/>
        <v>500</v>
      </c>
      <c r="I257" s="27">
        <f t="shared" si="71"/>
        <v>1000</v>
      </c>
      <c r="J257" s="27">
        <f t="shared" si="72"/>
        <v>0</v>
      </c>
      <c r="K257" s="27">
        <f t="shared" si="73"/>
        <v>1000</v>
      </c>
    </row>
    <row r="258" spans="1:11" s="100" customFormat="1" ht="15" customHeight="1">
      <c r="A258" s="61" t="s">
        <v>48</v>
      </c>
      <c r="B258" s="62" t="s">
        <v>49</v>
      </c>
      <c r="C258" s="65">
        <v>25700</v>
      </c>
      <c r="D258" s="65">
        <v>0</v>
      </c>
      <c r="E258" s="64">
        <f t="shared" si="66"/>
        <v>25700</v>
      </c>
      <c r="F258" s="65">
        <v>600</v>
      </c>
      <c r="G258" s="65">
        <v>0</v>
      </c>
      <c r="H258" s="64">
        <f t="shared" si="70"/>
        <v>600</v>
      </c>
      <c r="I258" s="64">
        <f t="shared" si="71"/>
        <v>26300</v>
      </c>
      <c r="J258" s="64">
        <f t="shared" si="72"/>
        <v>0</v>
      </c>
      <c r="K258" s="64">
        <f t="shared" si="73"/>
        <v>26300</v>
      </c>
    </row>
    <row r="259" spans="1:11" s="29" customFormat="1" ht="15" customHeight="1">
      <c r="A259" s="28">
        <v>80130</v>
      </c>
      <c r="B259" s="29" t="s">
        <v>102</v>
      </c>
      <c r="C259" s="23">
        <v>13749398</v>
      </c>
      <c r="D259" s="23">
        <v>0</v>
      </c>
      <c r="E259" s="24">
        <f t="shared" si="66"/>
        <v>13749398</v>
      </c>
      <c r="F259" s="30">
        <f>SUM(F260:F268)</f>
        <v>47873</v>
      </c>
      <c r="G259" s="30">
        <v>0</v>
      </c>
      <c r="H259" s="24">
        <f aca="true" t="shared" si="74" ref="H259:H286">F259+G259</f>
        <v>47873</v>
      </c>
      <c r="I259" s="24">
        <f t="shared" si="71"/>
        <v>13797271</v>
      </c>
      <c r="J259" s="24">
        <f t="shared" si="72"/>
        <v>0</v>
      </c>
      <c r="K259" s="24">
        <f t="shared" si="73"/>
        <v>13797271</v>
      </c>
    </row>
    <row r="260" spans="1:11" s="62" customFormat="1" ht="13.5" customHeight="1">
      <c r="A260" s="61" t="s">
        <v>45</v>
      </c>
      <c r="B260" s="62" t="s">
        <v>46</v>
      </c>
      <c r="C260" s="63">
        <v>7070751</v>
      </c>
      <c r="D260" s="63">
        <v>0</v>
      </c>
      <c r="E260" s="64">
        <f t="shared" si="66"/>
        <v>7070751</v>
      </c>
      <c r="F260" s="65">
        <f>1284-5439+5569</f>
        <v>1414</v>
      </c>
      <c r="G260" s="65">
        <v>0</v>
      </c>
      <c r="H260" s="64">
        <f t="shared" si="74"/>
        <v>1414</v>
      </c>
      <c r="I260" s="64">
        <f t="shared" si="71"/>
        <v>7072165</v>
      </c>
      <c r="J260" s="64">
        <f t="shared" si="72"/>
        <v>0</v>
      </c>
      <c r="K260" s="64">
        <f t="shared" si="73"/>
        <v>7072165</v>
      </c>
    </row>
    <row r="261" spans="1:11" s="62" customFormat="1" ht="13.5" customHeight="1">
      <c r="A261" s="61" t="s">
        <v>39</v>
      </c>
      <c r="B261" s="62" t="s">
        <v>68</v>
      </c>
      <c r="C261" s="63">
        <v>552909</v>
      </c>
      <c r="D261" s="63">
        <v>0</v>
      </c>
      <c r="E261" s="64">
        <f t="shared" si="66"/>
        <v>552909</v>
      </c>
      <c r="F261" s="65">
        <f>-1284+9812-5757</f>
        <v>2771</v>
      </c>
      <c r="G261" s="65">
        <v>0</v>
      </c>
      <c r="H261" s="64">
        <f t="shared" si="74"/>
        <v>2771</v>
      </c>
      <c r="I261" s="64">
        <f t="shared" si="71"/>
        <v>555680</v>
      </c>
      <c r="J261" s="64">
        <f t="shared" si="72"/>
        <v>0</v>
      </c>
      <c r="K261" s="64">
        <f t="shared" si="73"/>
        <v>555680</v>
      </c>
    </row>
    <row r="262" spans="1:11" s="67" customFormat="1" ht="15" customHeight="1">
      <c r="A262" s="61" t="s">
        <v>24</v>
      </c>
      <c r="B262" s="62" t="s">
        <v>25</v>
      </c>
      <c r="C262" s="65">
        <v>219270</v>
      </c>
      <c r="D262" s="65">
        <v>0</v>
      </c>
      <c r="E262" s="64">
        <f t="shared" si="66"/>
        <v>219270</v>
      </c>
      <c r="F262" s="65">
        <v>3000</v>
      </c>
      <c r="G262" s="65">
        <v>0</v>
      </c>
      <c r="H262" s="64">
        <f t="shared" si="74"/>
        <v>3000</v>
      </c>
      <c r="I262" s="64">
        <f t="shared" si="71"/>
        <v>222270</v>
      </c>
      <c r="J262" s="64">
        <f t="shared" si="72"/>
        <v>0</v>
      </c>
      <c r="K262" s="64">
        <f t="shared" si="73"/>
        <v>222270</v>
      </c>
    </row>
    <row r="263" spans="1:11" s="100" customFormat="1" ht="15" customHeight="1">
      <c r="A263" s="61" t="s">
        <v>48</v>
      </c>
      <c r="B263" s="62" t="s">
        <v>49</v>
      </c>
      <c r="C263" s="65">
        <v>424000</v>
      </c>
      <c r="D263" s="65">
        <v>0</v>
      </c>
      <c r="E263" s="64">
        <f t="shared" si="66"/>
        <v>424000</v>
      </c>
      <c r="F263" s="65">
        <f>3500+2000</f>
        <v>5500</v>
      </c>
      <c r="G263" s="65">
        <v>0</v>
      </c>
      <c r="H263" s="64">
        <f t="shared" si="74"/>
        <v>5500</v>
      </c>
      <c r="I263" s="64">
        <f aca="true" t="shared" si="75" ref="I263:K268">C263+F263</f>
        <v>429500</v>
      </c>
      <c r="J263" s="64">
        <f t="shared" si="75"/>
        <v>0</v>
      </c>
      <c r="K263" s="64">
        <f t="shared" si="75"/>
        <v>429500</v>
      </c>
    </row>
    <row r="264" spans="1:11" s="44" customFormat="1" ht="15" customHeight="1">
      <c r="A264" s="61" t="s">
        <v>90</v>
      </c>
      <c r="B264" s="62" t="s">
        <v>91</v>
      </c>
      <c r="C264" s="63">
        <v>205131</v>
      </c>
      <c r="D264" s="63">
        <v>0</v>
      </c>
      <c r="E264" s="64">
        <f t="shared" si="66"/>
        <v>205131</v>
      </c>
      <c r="F264" s="65">
        <f>15000</f>
        <v>15000</v>
      </c>
      <c r="G264" s="65">
        <v>0</v>
      </c>
      <c r="H264" s="64">
        <f t="shared" si="74"/>
        <v>15000</v>
      </c>
      <c r="I264" s="64">
        <f t="shared" si="75"/>
        <v>220131</v>
      </c>
      <c r="J264" s="64">
        <f t="shared" si="75"/>
        <v>0</v>
      </c>
      <c r="K264" s="64">
        <f t="shared" si="75"/>
        <v>220131</v>
      </c>
    </row>
    <row r="265" spans="1:11" s="67" customFormat="1" ht="15" customHeight="1">
      <c r="A265" s="61" t="s">
        <v>36</v>
      </c>
      <c r="B265" s="62" t="s">
        <v>37</v>
      </c>
      <c r="C265" s="65">
        <v>100965</v>
      </c>
      <c r="D265" s="65">
        <v>0</v>
      </c>
      <c r="E265" s="64">
        <f t="shared" si="66"/>
        <v>100965</v>
      </c>
      <c r="F265" s="65">
        <v>-1300</v>
      </c>
      <c r="G265" s="65">
        <v>0</v>
      </c>
      <c r="H265" s="64">
        <f t="shared" si="74"/>
        <v>-1300</v>
      </c>
      <c r="I265" s="64">
        <f t="shared" si="75"/>
        <v>99665</v>
      </c>
      <c r="J265" s="64">
        <f t="shared" si="75"/>
        <v>0</v>
      </c>
      <c r="K265" s="64">
        <f t="shared" si="75"/>
        <v>99665</v>
      </c>
    </row>
    <row r="266" spans="1:11" s="79" customFormat="1" ht="15" customHeight="1">
      <c r="A266" s="87" t="s">
        <v>71</v>
      </c>
      <c r="B266" s="88" t="s">
        <v>72</v>
      </c>
      <c r="C266" s="90">
        <v>14400</v>
      </c>
      <c r="D266" s="90">
        <v>0</v>
      </c>
      <c r="E266" s="27">
        <f t="shared" si="66"/>
        <v>14400</v>
      </c>
      <c r="F266" s="90">
        <v>1300</v>
      </c>
      <c r="G266" s="90">
        <v>0</v>
      </c>
      <c r="H266" s="27">
        <f t="shared" si="74"/>
        <v>1300</v>
      </c>
      <c r="I266" s="27">
        <f t="shared" si="75"/>
        <v>15700</v>
      </c>
      <c r="J266" s="27">
        <f t="shared" si="75"/>
        <v>0</v>
      </c>
      <c r="K266" s="27">
        <f t="shared" si="75"/>
        <v>15700</v>
      </c>
    </row>
    <row r="267" spans="1:11" s="79" customFormat="1" ht="15" customHeight="1">
      <c r="A267" s="87" t="s">
        <v>61</v>
      </c>
      <c r="B267" s="88" t="s">
        <v>162</v>
      </c>
      <c r="C267" s="90">
        <v>0</v>
      </c>
      <c r="D267" s="90">
        <v>0</v>
      </c>
      <c r="E267" s="27">
        <f t="shared" si="66"/>
        <v>0</v>
      </c>
      <c r="F267" s="90">
        <v>188</v>
      </c>
      <c r="G267" s="90">
        <v>0</v>
      </c>
      <c r="H267" s="27">
        <f t="shared" si="74"/>
        <v>188</v>
      </c>
      <c r="I267" s="27">
        <f>C267+F267</f>
        <v>188</v>
      </c>
      <c r="J267" s="27">
        <f>D267+G267</f>
        <v>0</v>
      </c>
      <c r="K267" s="27">
        <f>E267+H267</f>
        <v>188</v>
      </c>
    </row>
    <row r="268" spans="1:11" s="62" customFormat="1" ht="15" customHeight="1">
      <c r="A268" s="61" t="s">
        <v>108</v>
      </c>
      <c r="B268" s="62" t="s">
        <v>110</v>
      </c>
      <c r="C268" s="63">
        <v>0</v>
      </c>
      <c r="D268" s="63">
        <v>0</v>
      </c>
      <c r="E268" s="64">
        <f t="shared" si="66"/>
        <v>0</v>
      </c>
      <c r="F268" s="65">
        <v>20000</v>
      </c>
      <c r="G268" s="65">
        <v>0</v>
      </c>
      <c r="H268" s="64">
        <f t="shared" si="74"/>
        <v>20000</v>
      </c>
      <c r="I268" s="64">
        <f t="shared" si="75"/>
        <v>20000</v>
      </c>
      <c r="J268" s="64">
        <f t="shared" si="75"/>
        <v>0</v>
      </c>
      <c r="K268" s="64">
        <f t="shared" si="75"/>
        <v>20000</v>
      </c>
    </row>
    <row r="269" spans="1:11" s="133" customFormat="1" ht="15" customHeight="1">
      <c r="A269" s="132"/>
      <c r="C269" s="96"/>
      <c r="D269" s="96"/>
      <c r="E269" s="97"/>
      <c r="F269" s="98"/>
      <c r="G269" s="98"/>
      <c r="H269" s="97"/>
      <c r="I269" s="97"/>
      <c r="J269" s="97"/>
      <c r="K269" s="97"/>
    </row>
    <row r="270" spans="1:11" s="29" customFormat="1" ht="15" customHeight="1">
      <c r="A270" s="28">
        <v>80195</v>
      </c>
      <c r="B270" s="29" t="s">
        <v>23</v>
      </c>
      <c r="C270" s="23">
        <v>97100</v>
      </c>
      <c r="D270" s="23">
        <v>289364</v>
      </c>
      <c r="E270" s="24">
        <f t="shared" si="66"/>
        <v>386464</v>
      </c>
      <c r="F270" s="30">
        <f>SUM(F273:F274)</f>
        <v>0</v>
      </c>
      <c r="G270" s="30">
        <f>SUM(G273:G274)</f>
        <v>0</v>
      </c>
      <c r="H270" s="24">
        <f t="shared" si="74"/>
        <v>0</v>
      </c>
      <c r="I270" s="24">
        <f aca="true" t="shared" si="76" ref="I270:K274">C270+F270</f>
        <v>97100</v>
      </c>
      <c r="J270" s="24">
        <f t="shared" si="76"/>
        <v>289364</v>
      </c>
      <c r="K270" s="24">
        <f t="shared" si="76"/>
        <v>386464</v>
      </c>
    </row>
    <row r="271" spans="1:11" s="62" customFormat="1" ht="15" customHeight="1">
      <c r="A271" s="61" t="s">
        <v>132</v>
      </c>
      <c r="B271" s="62" t="s">
        <v>46</v>
      </c>
      <c r="C271" s="63">
        <v>0</v>
      </c>
      <c r="D271" s="63">
        <v>34821</v>
      </c>
      <c r="E271" s="64">
        <f t="shared" si="66"/>
        <v>34821</v>
      </c>
      <c r="F271" s="65">
        <v>0</v>
      </c>
      <c r="G271" s="65">
        <v>12</v>
      </c>
      <c r="H271" s="64">
        <f t="shared" si="74"/>
        <v>12</v>
      </c>
      <c r="I271" s="64">
        <f t="shared" si="76"/>
        <v>0</v>
      </c>
      <c r="J271" s="64">
        <f t="shared" si="76"/>
        <v>34833</v>
      </c>
      <c r="K271" s="64">
        <f t="shared" si="76"/>
        <v>34833</v>
      </c>
    </row>
    <row r="272" spans="1:11" s="119" customFormat="1" ht="15" customHeight="1">
      <c r="A272" s="61" t="s">
        <v>129</v>
      </c>
      <c r="B272" s="62" t="s">
        <v>40</v>
      </c>
      <c r="C272" s="115">
        <v>0</v>
      </c>
      <c r="D272" s="115">
        <v>6000</v>
      </c>
      <c r="E272" s="64">
        <f t="shared" si="66"/>
        <v>6000</v>
      </c>
      <c r="F272" s="115">
        <v>0</v>
      </c>
      <c r="G272" s="115">
        <v>-12</v>
      </c>
      <c r="H272" s="64">
        <f t="shared" si="74"/>
        <v>-12</v>
      </c>
      <c r="I272" s="64">
        <f t="shared" si="76"/>
        <v>0</v>
      </c>
      <c r="J272" s="64">
        <f t="shared" si="76"/>
        <v>5988</v>
      </c>
      <c r="K272" s="64">
        <f t="shared" si="76"/>
        <v>5988</v>
      </c>
    </row>
    <row r="273" spans="1:11" s="67" customFormat="1" ht="15" customHeight="1">
      <c r="A273" s="61" t="s">
        <v>24</v>
      </c>
      <c r="B273" s="62" t="s">
        <v>25</v>
      </c>
      <c r="C273" s="65">
        <v>1000</v>
      </c>
      <c r="D273" s="65">
        <v>0</v>
      </c>
      <c r="E273" s="64">
        <f t="shared" si="66"/>
        <v>1000</v>
      </c>
      <c r="F273" s="65">
        <v>1330</v>
      </c>
      <c r="G273" s="65">
        <v>0</v>
      </c>
      <c r="H273" s="64">
        <f t="shared" si="74"/>
        <v>1330</v>
      </c>
      <c r="I273" s="64">
        <f t="shared" si="76"/>
        <v>2330</v>
      </c>
      <c r="J273" s="64">
        <f t="shared" si="76"/>
        <v>0</v>
      </c>
      <c r="K273" s="64">
        <f t="shared" si="76"/>
        <v>2330</v>
      </c>
    </row>
    <row r="274" spans="1:11" s="67" customFormat="1" ht="15" customHeight="1">
      <c r="A274" s="61" t="s">
        <v>36</v>
      </c>
      <c r="B274" s="62" t="s">
        <v>37</v>
      </c>
      <c r="C274" s="65">
        <v>10000</v>
      </c>
      <c r="D274" s="65">
        <v>0</v>
      </c>
      <c r="E274" s="64">
        <f t="shared" si="66"/>
        <v>10000</v>
      </c>
      <c r="F274" s="65">
        <v>-1330</v>
      </c>
      <c r="G274" s="65">
        <v>0</v>
      </c>
      <c r="H274" s="64">
        <f t="shared" si="74"/>
        <v>-1330</v>
      </c>
      <c r="I274" s="64">
        <f t="shared" si="76"/>
        <v>8670</v>
      </c>
      <c r="J274" s="64">
        <f t="shared" si="76"/>
        <v>0</v>
      </c>
      <c r="K274" s="64">
        <f t="shared" si="76"/>
        <v>8670</v>
      </c>
    </row>
    <row r="275" spans="1:11" s="7" customFormat="1" ht="13.5" customHeight="1">
      <c r="A275" s="3" t="s">
        <v>28</v>
      </c>
      <c r="B275" s="15" t="s">
        <v>29</v>
      </c>
      <c r="C275" s="16">
        <v>63000</v>
      </c>
      <c r="D275" s="16">
        <v>28700</v>
      </c>
      <c r="E275" s="6">
        <f>SUM(C275:D275)</f>
        <v>91700</v>
      </c>
      <c r="F275" s="16">
        <f>F278</f>
        <v>200000</v>
      </c>
      <c r="G275" s="16">
        <v>0</v>
      </c>
      <c r="H275" s="6">
        <f>F275+G275</f>
        <v>200000</v>
      </c>
      <c r="I275" s="6">
        <f>C275+F275</f>
        <v>263000</v>
      </c>
      <c r="J275" s="6">
        <f>D275+G275</f>
        <v>28700</v>
      </c>
      <c r="K275" s="6">
        <f>E275+H275</f>
        <v>291700</v>
      </c>
    </row>
    <row r="276" spans="1:11" s="10" customFormat="1" ht="13.5" customHeight="1">
      <c r="A276" s="14"/>
      <c r="B276" s="17" t="s">
        <v>10</v>
      </c>
      <c r="C276" s="18"/>
      <c r="D276" s="18"/>
      <c r="E276" s="9"/>
      <c r="F276" s="18"/>
      <c r="G276" s="18"/>
      <c r="H276" s="9"/>
      <c r="I276" s="9"/>
      <c r="J276" s="9"/>
      <c r="K276" s="9"/>
    </row>
    <row r="277" spans="1:11" s="13" customFormat="1" ht="13.5" customHeight="1">
      <c r="A277" s="19"/>
      <c r="B277" s="11" t="s">
        <v>60</v>
      </c>
      <c r="C277" s="21">
        <v>50000</v>
      </c>
      <c r="D277" s="21">
        <v>0</v>
      </c>
      <c r="E277" s="12">
        <f>SUM(C277:D277)</f>
        <v>50000</v>
      </c>
      <c r="F277" s="21">
        <f>F279</f>
        <v>200000</v>
      </c>
      <c r="G277" s="21">
        <v>0</v>
      </c>
      <c r="H277" s="12">
        <f>F277+G277</f>
        <v>200000</v>
      </c>
      <c r="I277" s="12">
        <f>C277+F277</f>
        <v>250000</v>
      </c>
      <c r="J277" s="12">
        <f>D277+G277</f>
        <v>0</v>
      </c>
      <c r="K277" s="12">
        <f>E277+H277</f>
        <v>250000</v>
      </c>
    </row>
    <row r="278" spans="1:11" s="118" customFormat="1" ht="13.5" customHeight="1">
      <c r="A278" s="52">
        <v>85111</v>
      </c>
      <c r="B278" s="53" t="s">
        <v>144</v>
      </c>
      <c r="C278" s="56">
        <v>50000</v>
      </c>
      <c r="D278" s="56">
        <v>0</v>
      </c>
      <c r="E278" s="55">
        <f>SUM(C278:D278)</f>
        <v>50000</v>
      </c>
      <c r="F278" s="56">
        <f>SUM(F279:F279)</f>
        <v>200000</v>
      </c>
      <c r="G278" s="56">
        <f>SUM(G279:G283)</f>
        <v>0</v>
      </c>
      <c r="H278" s="55">
        <f>F278+G278</f>
        <v>200000</v>
      </c>
      <c r="I278" s="55">
        <f aca="true" t="shared" si="77" ref="I278:J280">C278+F278</f>
        <v>250000</v>
      </c>
      <c r="J278" s="55">
        <f t="shared" si="77"/>
        <v>0</v>
      </c>
      <c r="K278" s="55">
        <f>SUM(E278+H278)</f>
        <v>250000</v>
      </c>
    </row>
    <row r="279" spans="1:11" s="62" customFormat="1" ht="13.5" customHeight="1">
      <c r="A279" s="61" t="s">
        <v>143</v>
      </c>
      <c r="B279" s="62" t="s">
        <v>145</v>
      </c>
      <c r="C279" s="63">
        <v>50000</v>
      </c>
      <c r="D279" s="63">
        <v>0</v>
      </c>
      <c r="E279" s="64">
        <f>SUM(C279:D279)</f>
        <v>50000</v>
      </c>
      <c r="F279" s="65">
        <v>200000</v>
      </c>
      <c r="G279" s="65">
        <v>0</v>
      </c>
      <c r="H279" s="64">
        <f>F279+G279</f>
        <v>200000</v>
      </c>
      <c r="I279" s="64">
        <f t="shared" si="77"/>
        <v>250000</v>
      </c>
      <c r="J279" s="64">
        <f t="shared" si="77"/>
        <v>0</v>
      </c>
      <c r="K279" s="64">
        <f>E279+H279</f>
        <v>250000</v>
      </c>
    </row>
    <row r="280" spans="1:11" s="7" customFormat="1" ht="13.5" customHeight="1">
      <c r="A280" s="3" t="s">
        <v>81</v>
      </c>
      <c r="B280" s="15" t="s">
        <v>82</v>
      </c>
      <c r="C280" s="16">
        <v>7107303</v>
      </c>
      <c r="D280" s="16">
        <v>1585706</v>
      </c>
      <c r="E280" s="6">
        <f>SUM(C280:D280)</f>
        <v>8693009</v>
      </c>
      <c r="F280" s="16">
        <f>F283</f>
        <v>57000</v>
      </c>
      <c r="G280" s="16">
        <f>G286</f>
        <v>0</v>
      </c>
      <c r="H280" s="6">
        <f>F280+G280</f>
        <v>57000</v>
      </c>
      <c r="I280" s="6">
        <f t="shared" si="77"/>
        <v>7164303</v>
      </c>
      <c r="J280" s="6">
        <f t="shared" si="77"/>
        <v>1585706</v>
      </c>
      <c r="K280" s="6">
        <f>E280+H280</f>
        <v>8750009</v>
      </c>
    </row>
    <row r="281" spans="1:11" s="10" customFormat="1" ht="13.5" customHeight="1">
      <c r="A281" s="14"/>
      <c r="B281" s="17" t="s">
        <v>10</v>
      </c>
      <c r="C281" s="18"/>
      <c r="D281" s="18"/>
      <c r="E281" s="9"/>
      <c r="F281" s="18"/>
      <c r="G281" s="18"/>
      <c r="H281" s="9"/>
      <c r="I281" s="9"/>
      <c r="J281" s="9"/>
      <c r="K281" s="9"/>
    </row>
    <row r="282" spans="1:11" s="13" customFormat="1" ht="13.5" customHeight="1">
      <c r="A282" s="19"/>
      <c r="B282" s="11" t="s">
        <v>60</v>
      </c>
      <c r="C282" s="21">
        <v>105000</v>
      </c>
      <c r="D282" s="21">
        <v>0</v>
      </c>
      <c r="E282" s="12">
        <f>SUM(C282:D282)</f>
        <v>105000</v>
      </c>
      <c r="F282" s="21">
        <f>F285</f>
        <v>20000</v>
      </c>
      <c r="G282" s="21">
        <v>0</v>
      </c>
      <c r="H282" s="12">
        <f>F282+G282</f>
        <v>20000</v>
      </c>
      <c r="I282" s="12">
        <f>C282+F282</f>
        <v>125000</v>
      </c>
      <c r="J282" s="12">
        <f>D282+G282</f>
        <v>0</v>
      </c>
      <c r="K282" s="12">
        <f>E282+H282</f>
        <v>125000</v>
      </c>
    </row>
    <row r="283" spans="1:11" s="118" customFormat="1" ht="13.5" customHeight="1">
      <c r="A283" s="52">
        <v>85201</v>
      </c>
      <c r="B283" s="53" t="s">
        <v>142</v>
      </c>
      <c r="C283" s="56">
        <v>4015790</v>
      </c>
      <c r="D283" s="56">
        <v>0</v>
      </c>
      <c r="E283" s="55">
        <f>SUM(C283:D283)</f>
        <v>4015790</v>
      </c>
      <c r="F283" s="56">
        <f>SUM(F284:F285)</f>
        <v>57000</v>
      </c>
      <c r="G283" s="56">
        <f>SUM(G284:G285)</f>
        <v>0</v>
      </c>
      <c r="H283" s="55">
        <f>F283+G283</f>
        <v>57000</v>
      </c>
      <c r="I283" s="55">
        <f aca="true" t="shared" si="78" ref="I283:K285">C283+F283</f>
        <v>4072790</v>
      </c>
      <c r="J283" s="55">
        <f t="shared" si="78"/>
        <v>0</v>
      </c>
      <c r="K283" s="55">
        <f>SUM(E283+H283)</f>
        <v>4072790</v>
      </c>
    </row>
    <row r="284" spans="1:11" s="67" customFormat="1" ht="13.5" customHeight="1">
      <c r="A284" s="61" t="s">
        <v>90</v>
      </c>
      <c r="B284" s="62" t="s">
        <v>91</v>
      </c>
      <c r="C284" s="63">
        <v>69349</v>
      </c>
      <c r="D284" s="63">
        <v>0</v>
      </c>
      <c r="E284" s="64">
        <f>SUM(C284:D284)</f>
        <v>69349</v>
      </c>
      <c r="F284" s="65">
        <v>37000</v>
      </c>
      <c r="G284" s="65">
        <v>0</v>
      </c>
      <c r="H284" s="64">
        <f>F284+G284</f>
        <v>37000</v>
      </c>
      <c r="I284" s="64">
        <f t="shared" si="78"/>
        <v>106349</v>
      </c>
      <c r="J284" s="64">
        <f>D284+G284</f>
        <v>0</v>
      </c>
      <c r="K284" s="64">
        <f t="shared" si="78"/>
        <v>106349</v>
      </c>
    </row>
    <row r="285" spans="1:11" s="13" customFormat="1" ht="13.5" customHeight="1">
      <c r="A285" s="69" t="s">
        <v>78</v>
      </c>
      <c r="B285" s="70" t="s">
        <v>79</v>
      </c>
      <c r="C285" s="71">
        <v>25000</v>
      </c>
      <c r="D285" s="71">
        <v>0</v>
      </c>
      <c r="E285" s="39">
        <f>SUM(C285:D285)</f>
        <v>25000</v>
      </c>
      <c r="F285" s="71">
        <v>20000</v>
      </c>
      <c r="G285" s="71">
        <v>0</v>
      </c>
      <c r="H285" s="39">
        <f>F285+G285</f>
        <v>20000</v>
      </c>
      <c r="I285" s="39">
        <f t="shared" si="78"/>
        <v>45000</v>
      </c>
      <c r="J285" s="39">
        <f>D285+G285</f>
        <v>0</v>
      </c>
      <c r="K285" s="39">
        <f t="shared" si="78"/>
        <v>45000</v>
      </c>
    </row>
    <row r="286" spans="1:11" s="36" customFormat="1" ht="15" customHeight="1">
      <c r="A286" s="3" t="s">
        <v>51</v>
      </c>
      <c r="B286" s="15" t="s">
        <v>52</v>
      </c>
      <c r="C286" s="16">
        <v>4724261</v>
      </c>
      <c r="D286" s="16">
        <v>1668712</v>
      </c>
      <c r="E286" s="6">
        <f t="shared" si="66"/>
        <v>6392973</v>
      </c>
      <c r="F286" s="16">
        <f>F289+F292+F296+F300</f>
        <v>12464</v>
      </c>
      <c r="G286" s="16">
        <v>0</v>
      </c>
      <c r="H286" s="6">
        <f t="shared" si="74"/>
        <v>12464</v>
      </c>
      <c r="I286" s="6">
        <f>C286+F286</f>
        <v>4736725</v>
      </c>
      <c r="J286" s="6">
        <f>D286+G286</f>
        <v>1668712</v>
      </c>
      <c r="K286" s="6">
        <f>E286+H286</f>
        <v>6405437</v>
      </c>
    </row>
    <row r="287" spans="1:11" ht="15" customHeight="1">
      <c r="A287" s="14"/>
      <c r="B287" s="17" t="s">
        <v>10</v>
      </c>
      <c r="C287" s="18"/>
      <c r="D287" s="18"/>
      <c r="E287" s="9"/>
      <c r="F287" s="18"/>
      <c r="G287" s="18"/>
      <c r="H287" s="9"/>
      <c r="I287" s="9"/>
      <c r="J287" s="9"/>
      <c r="K287" s="9"/>
    </row>
    <row r="288" spans="1:11" ht="15" customHeight="1">
      <c r="A288" s="19"/>
      <c r="B288" s="11" t="s">
        <v>60</v>
      </c>
      <c r="C288" s="21">
        <v>25000</v>
      </c>
      <c r="D288" s="21">
        <v>0</v>
      </c>
      <c r="E288" s="12">
        <f aca="true" t="shared" si="79" ref="E288:E298">SUM(C288:D288)</f>
        <v>25000</v>
      </c>
      <c r="F288" s="21">
        <f>F299</f>
        <v>373431</v>
      </c>
      <c r="G288" s="21">
        <v>0</v>
      </c>
      <c r="H288" s="12">
        <f aca="true" t="shared" si="80" ref="H288:H298">F288+G288</f>
        <v>373431</v>
      </c>
      <c r="I288" s="12">
        <f>C288+F288</f>
        <v>398431</v>
      </c>
      <c r="J288" s="12">
        <f>D288+G288</f>
        <v>0</v>
      </c>
      <c r="K288" s="12">
        <f>E288+H288</f>
        <v>398431</v>
      </c>
    </row>
    <row r="289" spans="1:11" s="7" customFormat="1" ht="15" customHeight="1">
      <c r="A289" s="22">
        <v>85401</v>
      </c>
      <c r="B289" s="7" t="s">
        <v>126</v>
      </c>
      <c r="C289" s="23">
        <v>293700</v>
      </c>
      <c r="D289" s="23">
        <v>0</v>
      </c>
      <c r="E289" s="24">
        <f t="shared" si="79"/>
        <v>293700</v>
      </c>
      <c r="F289" s="23">
        <f>SUM(F290:F291)</f>
        <v>0</v>
      </c>
      <c r="G289" s="23">
        <v>0</v>
      </c>
      <c r="H289" s="24">
        <f t="shared" si="80"/>
        <v>0</v>
      </c>
      <c r="I289" s="24">
        <f aca="true" t="shared" si="81" ref="I289:K290">C289+F289</f>
        <v>293700</v>
      </c>
      <c r="J289" s="24">
        <f t="shared" si="81"/>
        <v>0</v>
      </c>
      <c r="K289" s="24">
        <f t="shared" si="81"/>
        <v>293700</v>
      </c>
    </row>
    <row r="290" spans="1:11" s="119" customFormat="1" ht="15" customHeight="1">
      <c r="A290" s="61" t="s">
        <v>39</v>
      </c>
      <c r="B290" s="62" t="s">
        <v>68</v>
      </c>
      <c r="C290" s="115">
        <v>11558</v>
      </c>
      <c r="D290" s="115">
        <v>0</v>
      </c>
      <c r="E290" s="64">
        <f t="shared" si="79"/>
        <v>11558</v>
      </c>
      <c r="F290" s="115">
        <v>-56</v>
      </c>
      <c r="G290" s="115">
        <v>0</v>
      </c>
      <c r="H290" s="64">
        <f t="shared" si="80"/>
        <v>-56</v>
      </c>
      <c r="I290" s="64">
        <f t="shared" si="81"/>
        <v>11502</v>
      </c>
      <c r="J290" s="64">
        <f t="shared" si="81"/>
        <v>0</v>
      </c>
      <c r="K290" s="64">
        <f t="shared" si="81"/>
        <v>11502</v>
      </c>
    </row>
    <row r="291" spans="1:11" s="119" customFormat="1" ht="15" customHeight="1">
      <c r="A291" s="61" t="s">
        <v>38</v>
      </c>
      <c r="B291" s="62" t="s">
        <v>50</v>
      </c>
      <c r="C291" s="115">
        <v>7500</v>
      </c>
      <c r="D291" s="115">
        <v>0</v>
      </c>
      <c r="E291" s="64">
        <f t="shared" si="79"/>
        <v>7500</v>
      </c>
      <c r="F291" s="115">
        <v>56</v>
      </c>
      <c r="G291" s="115">
        <v>0</v>
      </c>
      <c r="H291" s="64">
        <f t="shared" si="80"/>
        <v>56</v>
      </c>
      <c r="I291" s="64">
        <f aca="true" t="shared" si="82" ref="I291:K298">C291+F291</f>
        <v>7556</v>
      </c>
      <c r="J291" s="64">
        <f t="shared" si="82"/>
        <v>0</v>
      </c>
      <c r="K291" s="64">
        <f t="shared" si="82"/>
        <v>7556</v>
      </c>
    </row>
    <row r="292" spans="1:11" s="7" customFormat="1" ht="15" customHeight="1">
      <c r="A292" s="22">
        <v>85403</v>
      </c>
      <c r="B292" s="7" t="s">
        <v>128</v>
      </c>
      <c r="C292" s="23">
        <v>2127800</v>
      </c>
      <c r="D292" s="23">
        <v>0</v>
      </c>
      <c r="E292" s="24">
        <f t="shared" si="79"/>
        <v>2127800</v>
      </c>
      <c r="F292" s="23">
        <f>SUM(F293:F295)</f>
        <v>11600</v>
      </c>
      <c r="G292" s="23">
        <v>0</v>
      </c>
      <c r="H292" s="24">
        <f t="shared" si="80"/>
        <v>11600</v>
      </c>
      <c r="I292" s="24">
        <f t="shared" si="82"/>
        <v>2139400</v>
      </c>
      <c r="J292" s="24">
        <f t="shared" si="82"/>
        <v>0</v>
      </c>
      <c r="K292" s="24">
        <f t="shared" si="82"/>
        <v>2139400</v>
      </c>
    </row>
    <row r="293" spans="1:11" s="62" customFormat="1" ht="15" customHeight="1">
      <c r="A293" s="61" t="s">
        <v>86</v>
      </c>
      <c r="B293" s="62" t="s">
        <v>87</v>
      </c>
      <c r="C293" s="63">
        <v>91000</v>
      </c>
      <c r="D293" s="63">
        <v>0</v>
      </c>
      <c r="E293" s="64">
        <f t="shared" si="79"/>
        <v>91000</v>
      </c>
      <c r="F293" s="65">
        <v>3000</v>
      </c>
      <c r="G293" s="65">
        <v>0</v>
      </c>
      <c r="H293" s="64">
        <f t="shared" si="80"/>
        <v>3000</v>
      </c>
      <c r="I293" s="64">
        <f t="shared" si="82"/>
        <v>94000</v>
      </c>
      <c r="J293" s="64">
        <f t="shared" si="82"/>
        <v>0</v>
      </c>
      <c r="K293" s="64">
        <f t="shared" si="82"/>
        <v>94000</v>
      </c>
    </row>
    <row r="294" spans="1:11" s="119" customFormat="1" ht="15" customHeight="1">
      <c r="A294" s="61" t="s">
        <v>88</v>
      </c>
      <c r="B294" s="62" t="s">
        <v>89</v>
      </c>
      <c r="C294" s="115">
        <v>1000</v>
      </c>
      <c r="D294" s="115">
        <v>0</v>
      </c>
      <c r="E294" s="64">
        <f t="shared" si="79"/>
        <v>1000</v>
      </c>
      <c r="F294" s="115">
        <v>600</v>
      </c>
      <c r="G294" s="115">
        <v>0</v>
      </c>
      <c r="H294" s="64">
        <f t="shared" si="80"/>
        <v>600</v>
      </c>
      <c r="I294" s="64">
        <f t="shared" si="82"/>
        <v>1600</v>
      </c>
      <c r="J294" s="64">
        <f t="shared" si="82"/>
        <v>0</v>
      </c>
      <c r="K294" s="64">
        <f t="shared" si="82"/>
        <v>1600</v>
      </c>
    </row>
    <row r="295" spans="1:11" s="119" customFormat="1" ht="15" customHeight="1">
      <c r="A295" s="61" t="s">
        <v>36</v>
      </c>
      <c r="B295" s="62" t="s">
        <v>37</v>
      </c>
      <c r="C295" s="115">
        <v>12800</v>
      </c>
      <c r="D295" s="115">
        <v>0</v>
      </c>
      <c r="E295" s="64">
        <f t="shared" si="79"/>
        <v>12800</v>
      </c>
      <c r="F295" s="115">
        <v>8000</v>
      </c>
      <c r="G295" s="115">
        <v>0</v>
      </c>
      <c r="H295" s="64">
        <f t="shared" si="80"/>
        <v>8000</v>
      </c>
      <c r="I295" s="64">
        <f t="shared" si="82"/>
        <v>20800</v>
      </c>
      <c r="J295" s="64">
        <f t="shared" si="82"/>
        <v>0</v>
      </c>
      <c r="K295" s="64">
        <f t="shared" si="82"/>
        <v>20800</v>
      </c>
    </row>
    <row r="296" spans="1:11" s="7" customFormat="1" ht="15" customHeight="1">
      <c r="A296" s="22">
        <v>85406</v>
      </c>
      <c r="B296" s="7" t="s">
        <v>149</v>
      </c>
      <c r="C296" s="23">
        <v>1330981</v>
      </c>
      <c r="D296" s="23">
        <v>659512</v>
      </c>
      <c r="E296" s="24">
        <f t="shared" si="79"/>
        <v>1990493</v>
      </c>
      <c r="F296" s="23">
        <f>SUM(F297:F299)</f>
        <v>0</v>
      </c>
      <c r="G296" s="23">
        <v>0</v>
      </c>
      <c r="H296" s="24">
        <f t="shared" si="80"/>
        <v>0</v>
      </c>
      <c r="I296" s="24">
        <f t="shared" si="82"/>
        <v>1330981</v>
      </c>
      <c r="J296" s="24">
        <f t="shared" si="82"/>
        <v>659512</v>
      </c>
      <c r="K296" s="24">
        <f t="shared" si="82"/>
        <v>1990493</v>
      </c>
    </row>
    <row r="297" spans="1:11" s="119" customFormat="1" ht="15" customHeight="1">
      <c r="A297" s="113" t="s">
        <v>34</v>
      </c>
      <c r="B297" s="114" t="s">
        <v>57</v>
      </c>
      <c r="C297" s="115">
        <v>0</v>
      </c>
      <c r="D297" s="115">
        <v>0</v>
      </c>
      <c r="E297" s="64">
        <f t="shared" si="79"/>
        <v>0</v>
      </c>
      <c r="F297" s="115">
        <v>250</v>
      </c>
      <c r="G297" s="115">
        <v>0</v>
      </c>
      <c r="H297" s="64">
        <f t="shared" si="80"/>
        <v>250</v>
      </c>
      <c r="I297" s="64">
        <f t="shared" si="82"/>
        <v>250</v>
      </c>
      <c r="J297" s="64">
        <f t="shared" si="82"/>
        <v>0</v>
      </c>
      <c r="K297" s="64">
        <f t="shared" si="82"/>
        <v>250</v>
      </c>
    </row>
    <row r="298" spans="1:11" s="119" customFormat="1" ht="15" customHeight="1">
      <c r="A298" s="113" t="s">
        <v>90</v>
      </c>
      <c r="B298" s="114" t="s">
        <v>91</v>
      </c>
      <c r="C298" s="115">
        <v>377681</v>
      </c>
      <c r="D298" s="115">
        <v>0</v>
      </c>
      <c r="E298" s="64">
        <f t="shared" si="79"/>
        <v>377681</v>
      </c>
      <c r="F298" s="115">
        <f>-250-373431</f>
        <v>-373681</v>
      </c>
      <c r="G298" s="115">
        <v>0</v>
      </c>
      <c r="H298" s="64">
        <f t="shared" si="80"/>
        <v>-373681</v>
      </c>
      <c r="I298" s="64">
        <f t="shared" si="82"/>
        <v>4000</v>
      </c>
      <c r="J298" s="64">
        <f t="shared" si="82"/>
        <v>0</v>
      </c>
      <c r="K298" s="64">
        <f t="shared" si="82"/>
        <v>4000</v>
      </c>
    </row>
    <row r="299" spans="1:11" s="127" customFormat="1" ht="15" customHeight="1">
      <c r="A299" s="124" t="s">
        <v>78</v>
      </c>
      <c r="B299" s="125" t="s">
        <v>79</v>
      </c>
      <c r="C299" s="126">
        <v>0</v>
      </c>
      <c r="D299" s="126">
        <v>0</v>
      </c>
      <c r="E299" s="60">
        <f>SUM(C299:D299)</f>
        <v>0</v>
      </c>
      <c r="F299" s="126">
        <v>373431</v>
      </c>
      <c r="G299" s="126">
        <v>0</v>
      </c>
      <c r="H299" s="60">
        <f>F299+G299</f>
        <v>373431</v>
      </c>
      <c r="I299" s="60">
        <f aca="true" t="shared" si="83" ref="I299:K302">C299+F299</f>
        <v>373431</v>
      </c>
      <c r="J299" s="60">
        <f t="shared" si="83"/>
        <v>0</v>
      </c>
      <c r="K299" s="60">
        <f t="shared" si="83"/>
        <v>373431</v>
      </c>
    </row>
    <row r="300" spans="1:11" s="7" customFormat="1" ht="15" customHeight="1">
      <c r="A300" s="22">
        <v>85415</v>
      </c>
      <c r="B300" s="7" t="s">
        <v>66</v>
      </c>
      <c r="C300" s="23">
        <v>480</v>
      </c>
      <c r="D300" s="23">
        <v>1009200</v>
      </c>
      <c r="E300" s="24">
        <f>SUM(C300:D300)</f>
        <v>1009680</v>
      </c>
      <c r="F300" s="23">
        <f>SUM(F301:F301)</f>
        <v>864</v>
      </c>
      <c r="G300" s="23">
        <v>0</v>
      </c>
      <c r="H300" s="24">
        <f>F300+G300</f>
        <v>864</v>
      </c>
      <c r="I300" s="24">
        <f t="shared" si="83"/>
        <v>1344</v>
      </c>
      <c r="J300" s="24">
        <f t="shared" si="83"/>
        <v>1009200</v>
      </c>
      <c r="K300" s="24">
        <f t="shared" si="83"/>
        <v>1010544</v>
      </c>
    </row>
    <row r="301" spans="1:11" s="127" customFormat="1" ht="15" customHeight="1">
      <c r="A301" s="124" t="s">
        <v>93</v>
      </c>
      <c r="B301" s="125" t="s">
        <v>121</v>
      </c>
      <c r="C301" s="126">
        <v>0</v>
      </c>
      <c r="D301" s="126">
        <v>0</v>
      </c>
      <c r="E301" s="60">
        <f>SUM(C301:D301)</f>
        <v>0</v>
      </c>
      <c r="F301" s="126">
        <v>864</v>
      </c>
      <c r="G301" s="126">
        <v>0</v>
      </c>
      <c r="H301" s="60">
        <f>F301+G301</f>
        <v>864</v>
      </c>
      <c r="I301" s="60">
        <f t="shared" si="83"/>
        <v>864</v>
      </c>
      <c r="J301" s="60">
        <f t="shared" si="83"/>
        <v>0</v>
      </c>
      <c r="K301" s="60">
        <f t="shared" si="83"/>
        <v>864</v>
      </c>
    </row>
    <row r="302" spans="1:11" s="75" customFormat="1" ht="15" customHeight="1">
      <c r="A302" s="72" t="s">
        <v>26</v>
      </c>
      <c r="B302" s="73" t="s">
        <v>27</v>
      </c>
      <c r="C302" s="74">
        <v>2839644</v>
      </c>
      <c r="D302" s="74">
        <v>149000</v>
      </c>
      <c r="E302" s="6">
        <f>SUM(C302:D302)</f>
        <v>2988644</v>
      </c>
      <c r="F302" s="74">
        <f>F311</f>
        <v>150000</v>
      </c>
      <c r="G302" s="74">
        <f>G305+G308</f>
        <v>0</v>
      </c>
      <c r="H302" s="6">
        <f>F302+G302</f>
        <v>150000</v>
      </c>
      <c r="I302" s="6">
        <f t="shared" si="83"/>
        <v>2989644</v>
      </c>
      <c r="J302" s="6">
        <f t="shared" si="83"/>
        <v>149000</v>
      </c>
      <c r="K302" s="6">
        <f t="shared" si="83"/>
        <v>3138644</v>
      </c>
    </row>
    <row r="303" spans="1:11" s="79" customFormat="1" ht="15" customHeight="1">
      <c r="A303" s="76"/>
      <c r="B303" s="77" t="s">
        <v>10</v>
      </c>
      <c r="C303" s="78"/>
      <c r="D303" s="78"/>
      <c r="E303" s="9"/>
      <c r="F303" s="78"/>
      <c r="G303" s="78"/>
      <c r="H303" s="9"/>
      <c r="I303" s="9"/>
      <c r="J303" s="9"/>
      <c r="K303" s="9"/>
    </row>
    <row r="304" spans="1:11" s="82" customFormat="1" ht="15" customHeight="1">
      <c r="A304" s="80"/>
      <c r="B304" s="11" t="s">
        <v>60</v>
      </c>
      <c r="C304" s="81">
        <v>154000</v>
      </c>
      <c r="D304" s="81">
        <v>0</v>
      </c>
      <c r="E304" s="12">
        <f aca="true" t="shared" si="84" ref="E304:E312">SUM(C304:D304)</f>
        <v>154000</v>
      </c>
      <c r="F304" s="81">
        <f>F307+F310</f>
        <v>-40000</v>
      </c>
      <c r="G304" s="81">
        <f>G307+G310</f>
        <v>73000</v>
      </c>
      <c r="H304" s="12">
        <f aca="true" t="shared" si="85" ref="H304:H312">F304+G304</f>
        <v>33000</v>
      </c>
      <c r="I304" s="12">
        <f aca="true" t="shared" si="86" ref="I304:I312">C304+F304</f>
        <v>114000</v>
      </c>
      <c r="J304" s="12">
        <f aca="true" t="shared" si="87" ref="J304:J312">D304+G304</f>
        <v>73000</v>
      </c>
      <c r="K304" s="12">
        <f aca="true" t="shared" si="88" ref="K304:K312">E304+H304</f>
        <v>187000</v>
      </c>
    </row>
    <row r="305" spans="1:11" s="84" customFormat="1" ht="15" customHeight="1">
      <c r="A305" s="83">
        <v>92116</v>
      </c>
      <c r="B305" s="84" t="s">
        <v>151</v>
      </c>
      <c r="C305" s="85">
        <v>1417282</v>
      </c>
      <c r="D305" s="85">
        <v>62000</v>
      </c>
      <c r="E305" s="24">
        <f t="shared" si="84"/>
        <v>1479282</v>
      </c>
      <c r="F305" s="86">
        <f>SUM(F306:F307)</f>
        <v>0</v>
      </c>
      <c r="G305" s="86">
        <v>0</v>
      </c>
      <c r="H305" s="24">
        <f t="shared" si="85"/>
        <v>0</v>
      </c>
      <c r="I305" s="24">
        <f t="shared" si="86"/>
        <v>1417282</v>
      </c>
      <c r="J305" s="24">
        <f t="shared" si="87"/>
        <v>62000</v>
      </c>
      <c r="K305" s="24">
        <f t="shared" si="88"/>
        <v>1479282</v>
      </c>
    </row>
    <row r="306" spans="1:11" s="88" customFormat="1" ht="15" customHeight="1">
      <c r="A306" s="87" t="s">
        <v>63</v>
      </c>
      <c r="B306" s="88" t="s">
        <v>64</v>
      </c>
      <c r="C306" s="89">
        <v>1377282</v>
      </c>
      <c r="D306" s="89">
        <v>62000</v>
      </c>
      <c r="E306" s="27">
        <f t="shared" si="84"/>
        <v>1439282</v>
      </c>
      <c r="F306" s="90">
        <v>40000</v>
      </c>
      <c r="G306" s="90">
        <v>-46000</v>
      </c>
      <c r="H306" s="27">
        <f t="shared" si="85"/>
        <v>-6000</v>
      </c>
      <c r="I306" s="27">
        <f t="shared" si="86"/>
        <v>1417282</v>
      </c>
      <c r="J306" s="27">
        <f t="shared" si="87"/>
        <v>16000</v>
      </c>
      <c r="K306" s="27">
        <f t="shared" si="88"/>
        <v>1433282</v>
      </c>
    </row>
    <row r="307" spans="1:11" s="88" customFormat="1" ht="15" customHeight="1">
      <c r="A307" s="87" t="s">
        <v>152</v>
      </c>
      <c r="B307" s="88" t="s">
        <v>150</v>
      </c>
      <c r="C307" s="89">
        <v>40000</v>
      </c>
      <c r="D307" s="89">
        <v>0</v>
      </c>
      <c r="E307" s="27">
        <f t="shared" si="84"/>
        <v>40000</v>
      </c>
      <c r="F307" s="90">
        <v>-40000</v>
      </c>
      <c r="G307" s="90">
        <v>46000</v>
      </c>
      <c r="H307" s="27">
        <f t="shared" si="85"/>
        <v>6000</v>
      </c>
      <c r="I307" s="27">
        <f t="shared" si="86"/>
        <v>0</v>
      </c>
      <c r="J307" s="27">
        <f t="shared" si="87"/>
        <v>46000</v>
      </c>
      <c r="K307" s="27">
        <f t="shared" si="88"/>
        <v>46000</v>
      </c>
    </row>
    <row r="308" spans="1:11" s="84" customFormat="1" ht="15" customHeight="1">
      <c r="A308" s="83">
        <v>92118</v>
      </c>
      <c r="B308" s="84" t="s">
        <v>62</v>
      </c>
      <c r="C308" s="85">
        <v>824762</v>
      </c>
      <c r="D308" s="85">
        <v>27000</v>
      </c>
      <c r="E308" s="24">
        <f t="shared" si="84"/>
        <v>851762</v>
      </c>
      <c r="F308" s="86">
        <f>SUM(F309:F309)</f>
        <v>0</v>
      </c>
      <c r="G308" s="86">
        <v>0</v>
      </c>
      <c r="H308" s="24">
        <f t="shared" si="85"/>
        <v>0</v>
      </c>
      <c r="I308" s="24">
        <f t="shared" si="86"/>
        <v>824762</v>
      </c>
      <c r="J308" s="24">
        <f t="shared" si="87"/>
        <v>27000</v>
      </c>
      <c r="K308" s="24">
        <f t="shared" si="88"/>
        <v>851762</v>
      </c>
    </row>
    <row r="309" spans="1:11" s="88" customFormat="1" ht="15" customHeight="1">
      <c r="A309" s="87" t="s">
        <v>63</v>
      </c>
      <c r="B309" s="88" t="s">
        <v>64</v>
      </c>
      <c r="C309" s="89">
        <v>810762</v>
      </c>
      <c r="D309" s="89">
        <v>27000</v>
      </c>
      <c r="E309" s="27">
        <f t="shared" si="84"/>
        <v>837762</v>
      </c>
      <c r="F309" s="90">
        <v>0</v>
      </c>
      <c r="G309" s="90">
        <v>-27000</v>
      </c>
      <c r="H309" s="27">
        <f t="shared" si="85"/>
        <v>-27000</v>
      </c>
      <c r="I309" s="27">
        <f t="shared" si="86"/>
        <v>810762</v>
      </c>
      <c r="J309" s="27">
        <f t="shared" si="87"/>
        <v>0</v>
      </c>
      <c r="K309" s="27">
        <f t="shared" si="88"/>
        <v>810762</v>
      </c>
    </row>
    <row r="310" spans="1:11" s="92" customFormat="1" ht="15" customHeight="1">
      <c r="A310" s="91" t="s">
        <v>152</v>
      </c>
      <c r="B310" s="92" t="s">
        <v>150</v>
      </c>
      <c r="C310" s="93">
        <v>14000</v>
      </c>
      <c r="D310" s="93">
        <v>0</v>
      </c>
      <c r="E310" s="39">
        <f t="shared" si="84"/>
        <v>14000</v>
      </c>
      <c r="F310" s="94">
        <v>0</v>
      </c>
      <c r="G310" s="94">
        <v>27000</v>
      </c>
      <c r="H310" s="39">
        <f t="shared" si="85"/>
        <v>27000</v>
      </c>
      <c r="I310" s="39">
        <f t="shared" si="86"/>
        <v>14000</v>
      </c>
      <c r="J310" s="39">
        <f t="shared" si="87"/>
        <v>27000</v>
      </c>
      <c r="K310" s="39">
        <f t="shared" si="88"/>
        <v>41000</v>
      </c>
    </row>
    <row r="311" spans="1:11" s="84" customFormat="1" ht="15" customHeight="1">
      <c r="A311" s="83">
        <v>92120</v>
      </c>
      <c r="B311" s="84" t="s">
        <v>137</v>
      </c>
      <c r="C311" s="85">
        <v>220000</v>
      </c>
      <c r="D311" s="85">
        <v>0</v>
      </c>
      <c r="E311" s="24">
        <f t="shared" si="84"/>
        <v>220000</v>
      </c>
      <c r="F311" s="86">
        <f>SUM(F312:F312)</f>
        <v>150000</v>
      </c>
      <c r="G311" s="86">
        <f>SUM(G312:G312)</f>
        <v>0</v>
      </c>
      <c r="H311" s="24">
        <f t="shared" si="85"/>
        <v>150000</v>
      </c>
      <c r="I311" s="24">
        <f t="shared" si="86"/>
        <v>370000</v>
      </c>
      <c r="J311" s="24">
        <f t="shared" si="87"/>
        <v>0</v>
      </c>
      <c r="K311" s="24">
        <f t="shared" si="88"/>
        <v>370000</v>
      </c>
    </row>
    <row r="312" spans="1:11" s="131" customFormat="1" ht="15" customHeight="1">
      <c r="A312" s="130" t="s">
        <v>116</v>
      </c>
      <c r="B312" s="131" t="s">
        <v>146</v>
      </c>
      <c r="C312" s="93">
        <v>150000</v>
      </c>
      <c r="D312" s="93">
        <v>0</v>
      </c>
      <c r="E312" s="39">
        <f t="shared" si="84"/>
        <v>150000</v>
      </c>
      <c r="F312" s="93">
        <v>150000</v>
      </c>
      <c r="G312" s="93">
        <v>0</v>
      </c>
      <c r="H312" s="39">
        <f t="shared" si="85"/>
        <v>150000</v>
      </c>
      <c r="I312" s="39">
        <f t="shared" si="86"/>
        <v>300000</v>
      </c>
      <c r="J312" s="39">
        <f t="shared" si="87"/>
        <v>0</v>
      </c>
      <c r="K312" s="39">
        <f t="shared" si="88"/>
        <v>300000</v>
      </c>
    </row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</sheetData>
  <mergeCells count="12">
    <mergeCell ref="I1:K1"/>
    <mergeCell ref="I2:K2"/>
    <mergeCell ref="I3:K3"/>
    <mergeCell ref="I4:K4"/>
    <mergeCell ref="A13:K13"/>
    <mergeCell ref="A213:K213"/>
    <mergeCell ref="A6:K6"/>
    <mergeCell ref="A7:A8"/>
    <mergeCell ref="B7:B8"/>
    <mergeCell ref="C7:E7"/>
    <mergeCell ref="F7:H7"/>
    <mergeCell ref="I7:K7"/>
  </mergeCells>
  <printOptions/>
  <pageMargins left="0" right="0" top="0.7874015748031497" bottom="0.7874015748031497" header="0.5118110236220472" footer="0.5118110236220472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2006-06-30T06:31:55Z</cp:lastPrinted>
  <dcterms:created xsi:type="dcterms:W3CDTF">2004-05-19T13:15:32Z</dcterms:created>
  <dcterms:modified xsi:type="dcterms:W3CDTF">2006-06-30T12:03:02Z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