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Dochody -tab 1" sheetId="1" r:id="rId1"/>
    <sheet name="Wydatki - tab.6" sheetId="2" r:id="rId2"/>
    <sheet name="Wyd - tab 4" sheetId="3" r:id="rId3"/>
    <sheet name="WYD - tab 7" sheetId="4" r:id="rId4"/>
    <sheet name="Środki UE" sheetId="5" r:id="rId5"/>
  </sheets>
  <definedNames/>
  <calcPr fullCalcOnLoad="1"/>
</workbook>
</file>

<file path=xl/sharedStrings.xml><?xml version="1.0" encoding="utf-8"?>
<sst xmlns="http://schemas.openxmlformats.org/spreadsheetml/2006/main" count="222" uniqueCount="142">
  <si>
    <t>TREŚĆ</t>
  </si>
  <si>
    <t>Struktura</t>
  </si>
  <si>
    <t>część oświatowa</t>
  </si>
  <si>
    <t xml:space="preserve">1. Dotacje na zadania własne </t>
  </si>
  <si>
    <t xml:space="preserve">2. Dotacje na zadania zlecone </t>
  </si>
  <si>
    <t>3. Dotacje na zadania powierzone</t>
  </si>
  <si>
    <t xml:space="preserve"> </t>
  </si>
  <si>
    <t>T R E Ś Ć</t>
  </si>
  <si>
    <t>Rolnictwo i łowiectwo</t>
  </si>
  <si>
    <t>Leśnictwo</t>
  </si>
  <si>
    <t>Działalność usługowa, w tym:</t>
  </si>
  <si>
    <t>Urzędy naczelnych organów władzy państwowej</t>
  </si>
  <si>
    <t>Obsługa długu publicznego</t>
  </si>
  <si>
    <t>Różne rozliczenia</t>
  </si>
  <si>
    <t>Gospodarka komunalna i ochrona środowiska, w tym:</t>
  </si>
  <si>
    <t>Kultura i ochrona dziedzictwa narodowego, w tym:</t>
  </si>
  <si>
    <t>Kultura fizyczna i sport, w tym:</t>
  </si>
  <si>
    <t>część równoważąca</t>
  </si>
  <si>
    <t xml:space="preserve">Turystyka </t>
  </si>
  <si>
    <t>Pomoc społeczna, w tym:</t>
  </si>
  <si>
    <t>Pozostałe zadania w zakresie polityki społecznej</t>
  </si>
  <si>
    <t>Edukacyjna opieka wychowawcza, w tym:</t>
  </si>
  <si>
    <t>Oświata i wychowanie, w tym:</t>
  </si>
  <si>
    <t>Bezpieczeństwo publiczne i ochr.przeciwpoż., w tym:</t>
  </si>
  <si>
    <t>%                3:2</t>
  </si>
  <si>
    <t>Struktura wykonania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</si>
  <si>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</si>
  <si>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</si>
  <si>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</si>
  <si>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</si>
  <si>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</si>
  <si>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</si>
  <si>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</si>
  <si>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</si>
  <si>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</si>
  <si>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</si>
  <si>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</si>
  <si>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</si>
  <si>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</si>
  <si>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</si>
  <si>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</si>
  <si>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</si>
  <si>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</si>
  <si>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</si>
  <si>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</si>
  <si>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</si>
  <si>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%        4:3</t>
  </si>
  <si>
    <t>Transport i łączność, w tym:</t>
  </si>
  <si>
    <t>Ochrona zdrowia, w tym:</t>
  </si>
  <si>
    <t xml:space="preserve">2. Dochody z majątku </t>
  </si>
  <si>
    <t>Tabela nr 5</t>
  </si>
  <si>
    <t>II.Dochody z realizacji zadań z zakresu administracji rządowej</t>
  </si>
  <si>
    <t>IV. Dotacje celowe ( 1+2+3 )</t>
  </si>
  <si>
    <t>DOCHODY   OGÓŁEM ( I+II+III+IV )</t>
  </si>
  <si>
    <t>Tabela nr 1</t>
  </si>
  <si>
    <t xml:space="preserve">3.  WYKONANIE  WYDATKÓW  OGÓŁEM   - według działów    </t>
  </si>
  <si>
    <t>Tabela nr 4</t>
  </si>
  <si>
    <t>2. Realizacja  wydatków  według  grup  (ogółem, gmina, powiat)</t>
  </si>
  <si>
    <t>WYSZCZEGÓLNIENIE</t>
  </si>
  <si>
    <t>%          4:3</t>
  </si>
  <si>
    <t>WYDATKI OGÓŁEM  =  A + B</t>
  </si>
  <si>
    <t>Wydatki bieżące, z tego</t>
  </si>
  <si>
    <t>1.1.</t>
  </si>
  <si>
    <t>1.2.</t>
  </si>
  <si>
    <t>pochodne od wynagrodzeń</t>
  </si>
  <si>
    <t>1.3.</t>
  </si>
  <si>
    <t>1.4</t>
  </si>
  <si>
    <t>wydatki na obsługę długu</t>
  </si>
  <si>
    <t>1.5.</t>
  </si>
  <si>
    <t>wydatki rzeczowe bieżące</t>
  </si>
  <si>
    <t>Wydatki majątkowe</t>
  </si>
  <si>
    <t>A</t>
  </si>
  <si>
    <t>Wydatki dotyczące zadań gminy</t>
  </si>
  <si>
    <t>B</t>
  </si>
  <si>
    <t>Wydatki dotyczące zadań powiatu</t>
  </si>
  <si>
    <t>3. Udziały w podatkach stanowiących dochody budżetu państwa</t>
  </si>
  <si>
    <t>4. Dochody własne jednostek budżetowych</t>
  </si>
  <si>
    <t>majątkowe</t>
  </si>
  <si>
    <t>Wydatki związane z poborem dochodów</t>
  </si>
  <si>
    <t>WYDATKI  OGÓŁEM</t>
  </si>
  <si>
    <t>Szkolnictwo wyższe</t>
  </si>
  <si>
    <t>20.</t>
  </si>
  <si>
    <t>21.</t>
  </si>
  <si>
    <t>Gospodarka mieszkaniowa, w tym:</t>
  </si>
  <si>
    <t>Administracja publiczna, w tym:</t>
  </si>
  <si>
    <t>II. Udziały w podatkach stanowiących dochody budżetu państwa</t>
  </si>
  <si>
    <t>III. Dochody z realizacji zadań z zakresu administracji rządowej</t>
  </si>
  <si>
    <t>DOCHODY  OGÓŁEM</t>
  </si>
  <si>
    <t xml:space="preserve">I.  Dochody własne </t>
  </si>
  <si>
    <t xml:space="preserve">V. Dotacje celowe </t>
  </si>
  <si>
    <t>VI. Środki pochodzące z budżetu Unii Europejskiej</t>
  </si>
  <si>
    <t>IV. Subwencja ogólna</t>
  </si>
  <si>
    <t>WYDATKI MAJĄTKOWE</t>
  </si>
  <si>
    <t>dotacje</t>
  </si>
  <si>
    <t>Nazwa</t>
  </si>
  <si>
    <t>Dział</t>
  </si>
  <si>
    <t>Wykonanie wydatków w 2005 roku</t>
  </si>
  <si>
    <t>Wydatki bieżące</t>
  </si>
  <si>
    <t>z tego:</t>
  </si>
  <si>
    <t>płace i pochodne</t>
  </si>
  <si>
    <t>obsługa długu</t>
  </si>
  <si>
    <t>Wydatki ogółem</t>
  </si>
  <si>
    <t>OGÓŁEM</t>
  </si>
  <si>
    <t>010</t>
  </si>
  <si>
    <t>020</t>
  </si>
  <si>
    <t>rzeczowe bieżące</t>
  </si>
  <si>
    <t>Transport i łączność</t>
  </si>
  <si>
    <t>Turystyka</t>
  </si>
  <si>
    <t>Gospodarka mieszkaniowa</t>
  </si>
  <si>
    <t>Działalność usługowa</t>
  </si>
  <si>
    <t>Administracja publiczna</t>
  </si>
  <si>
    <t>Urządy naczelnych organów władzy państwowej</t>
  </si>
  <si>
    <t>Bezpieczeństwo publiczne i ochrona przeciwpoż.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</si>
  <si>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</si>
  <si>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</si>
  <si>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</si>
  <si>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</si>
  <si>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</si>
  <si>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i ochrona dziedzictwa narodowego</t>
  </si>
  <si>
    <t>Kultura fizyczna i sport</t>
  </si>
  <si>
    <t>4:10</t>
  </si>
  <si>
    <t>9:10</t>
  </si>
  <si>
    <t>5:10</t>
  </si>
  <si>
    <t>6:10</t>
  </si>
  <si>
    <t>7:10</t>
  </si>
  <si>
    <t xml:space="preserve">3.  WYKONANIE  DOCHODÓW OGÓŁEM  - razem gmina i powiat                                                                                                                                                                                  według ważniejszych źródeł </t>
  </si>
  <si>
    <t>część uzupełniająca subwencji ogólnej dla jst</t>
  </si>
  <si>
    <t>1. Dochody podatkowe, opłaty lokalne i pozostałe</t>
  </si>
  <si>
    <t>Tabela nr 6</t>
  </si>
  <si>
    <t>Tabela nr 7</t>
  </si>
  <si>
    <t>III. Subwencja ogólna, w tym:</t>
  </si>
  <si>
    <t xml:space="preserve">7.  WYKONANIE  DOCHODÓW  OGÓŁEM  WRAZ  ZE  ŚRODKAMI  UNII  EUROPEJSKIEJ  WG  ŹRÓDEŁ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</si>
  <si>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I.  Dochody własne ( 1+2+3+4)</t>
  </si>
  <si>
    <t>4. WYKONANIE WYDATKÓW MIASTA PIOTRKOWA TRYBUNALSKIEGO WEDŁUG  GRUP  W  POSZCZEGÓLNYCH  DZIAŁACH</t>
  </si>
  <si>
    <t>Plan 2005 r.</t>
  </si>
  <si>
    <t xml:space="preserve">Wykonanie                                                                                                                                                                                                                                                                                     2005 r.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</si>
  <si>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wynagrodzenia (od § 4010 - § 4100 i  § 4170, § 4180)</t>
  </si>
  <si>
    <t xml:space="preserve">Plan 2005 </t>
  </si>
  <si>
    <t xml:space="preserve">Wykonanie  2005 </t>
  </si>
  <si>
    <t>Plan 2005</t>
  </si>
  <si>
    <t>Wykonanie  2005</t>
  </si>
  <si>
    <t xml:space="preserve">Wykonanie                                                                                                                                                                                                                                                                                   2005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</si>
</sst>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E"/>
      <family val="0"/>
    </font>
    <font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 CE"/>
      <family val="0"/>
    </font>
    <font>
      <sz val="10.25"/>
      <name val="Arial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vertical="center"/>
    </xf>
    <xf numFmtId="49" fontId="8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0525"/>
          <c:w val="1"/>
          <c:h val="0.7212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'Środki UE'!$A$8:$A$13</c:f>
              <c:strCache>
                <c:ptCount val="6"/>
                <c:pt idx="0">
                  <c:v>I.  Dochody własne </c:v>
                </c:pt>
                <c:pt idx="1">
                  <c:v>II. Udziały w podatkach stanowiących dochody budżetu państwa</c:v>
                </c:pt>
                <c:pt idx="2">
                  <c:v>III. Dochody z realizacji zadań z zakresu administracji rządowej</c:v>
                </c:pt>
                <c:pt idx="3">
                  <c:v>IV. Subwencja ogólna</c:v>
                </c:pt>
                <c:pt idx="4">
                  <c:v>V. Dotacje celowe </c:v>
                </c:pt>
                <c:pt idx="5">
                  <c:v>VI. Środki pochodzące z budżetu Unii Europejskiej</c:v>
                </c:pt>
              </c:strCache>
            </c:strRef>
          </c:cat>
          <c:val>
            <c:numRef>
              <c:f>'Środki UE'!$C$8:$C$13</c:f>
              <c:numCache>
                <c:ptCount val="6"/>
                <c:pt idx="0">
                  <c:v>55593719</c:v>
                </c:pt>
                <c:pt idx="1">
                  <c:v>44480575</c:v>
                </c:pt>
                <c:pt idx="2">
                  <c:v>479926</c:v>
                </c:pt>
                <c:pt idx="3">
                  <c:v>59832153</c:v>
                </c:pt>
                <c:pt idx="4">
                  <c:v>31010832</c:v>
                </c:pt>
                <c:pt idx="5">
                  <c:v>305232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75"/>
          <c:y val="0.7795"/>
          <c:w val="0.663"/>
          <c:h val="0.20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0.26225</cdr:y>
    </cdr:from>
    <cdr:to>
      <cdr:x>0.856</cdr:x>
      <cdr:y>0.29775</cdr:y>
    </cdr:to>
    <cdr:sp>
      <cdr:nvSpPr>
        <cdr:cNvPr id="1" name="TextBox 1"/>
        <cdr:cNvSpPr txBox="1">
          <a:spLocks noChangeArrowheads="1"/>
        </cdr:cNvSpPr>
      </cdr:nvSpPr>
      <cdr:spPr>
        <a:xfrm>
          <a:off x="4581525" y="1247775"/>
          <a:ext cx="1390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dochody własne</a:t>
          </a:r>
        </a:p>
      </cdr:txBody>
    </cdr:sp>
  </cdr:relSizeAnchor>
  <cdr:relSizeAnchor xmlns:cdr="http://schemas.openxmlformats.org/drawingml/2006/chartDrawing">
    <cdr:from>
      <cdr:x>0.272</cdr:x>
      <cdr:y>0.24675</cdr:y>
    </cdr:from>
    <cdr:to>
      <cdr:x>0.44</cdr:x>
      <cdr:y>0.28225</cdr:y>
    </cdr:to>
    <cdr:sp>
      <cdr:nvSpPr>
        <cdr:cNvPr id="2" name="TextBox 2"/>
        <cdr:cNvSpPr txBox="1">
          <a:spLocks noChangeArrowheads="1"/>
        </cdr:cNvSpPr>
      </cdr:nvSpPr>
      <cdr:spPr>
        <a:xfrm>
          <a:off x="1895475" y="1181100"/>
          <a:ext cx="1171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dotacje celowe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133350</xdr:rowOff>
    </xdr:from>
    <xdr:to>
      <xdr:col>4</xdr:col>
      <xdr:colOff>752475</xdr:colOff>
      <xdr:row>42</xdr:row>
      <xdr:rowOff>76200</xdr:rowOff>
    </xdr:to>
    <xdr:graphicFrame>
      <xdr:nvGraphicFramePr>
        <xdr:cNvPr id="1" name="Chart 2"/>
        <xdr:cNvGraphicFramePr/>
      </xdr:nvGraphicFramePr>
      <xdr:xfrm>
        <a:off x="19050" y="4486275"/>
        <a:ext cx="69818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542925</xdr:colOff>
      <xdr:row>24</xdr:row>
      <xdr:rowOff>123825</xdr:rowOff>
    </xdr:from>
    <xdr:to>
      <xdr:col>2</xdr:col>
      <xdr:colOff>800100</xdr:colOff>
      <xdr:row>26</xdr:row>
      <xdr:rowOff>57150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105275" y="6410325"/>
          <a:ext cx="1314450" cy="25717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udziały w podatkach</a:t>
          </a:r>
        </a:p>
      </xdr:txBody>
    </xdr:sp>
    <xdr:clientData/>
  </xdr:twoCellAnchor>
  <xdr:twoCellAnchor>
    <xdr:from>
      <xdr:col>0</xdr:col>
      <xdr:colOff>1019175</xdr:colOff>
      <xdr:row>23</xdr:row>
      <xdr:rowOff>123825</xdr:rowOff>
    </xdr:from>
    <xdr:to>
      <xdr:col>0</xdr:col>
      <xdr:colOff>2400300</xdr:colOff>
      <xdr:row>25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19175" y="6248400"/>
          <a:ext cx="1371600" cy="209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subwencja ogólna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C6" sqref="C6"/>
    </sheetView>
  </sheetViews>
  <sheetFormatPr defaultColWidth="9.00390625" defaultRowHeight="12.75"/>
  <cols>
    <col min="1" max="1" width="45.75390625" style="5" customWidth="1"/>
    <col min="2" max="3" width="14.625" style="5" customWidth="1"/>
    <col min="4" max="4" width="9.00390625" style="5" customWidth="1"/>
    <col min="5" max="5" width="10.125" style="78" customWidth="1"/>
    <col min="6" max="6" width="9.125" style="5" customWidth="1"/>
    <col min="7" max="7" width="18.625" style="60" customWidth="1"/>
    <col min="8" max="8" width="12.375" style="60" bestFit="1" customWidth="1"/>
    <col min="9" max="10" width="9.125" style="60" customWidth="1"/>
    <col min="11" max="16384" width="9.125" style="5" customWidth="1"/>
  </cols>
  <sheetData>
    <row r="1" spans="1:5" ht="18.75" customHeight="1">
      <c r="A1" s="110">
        <v>15</v>
      </c>
      <c r="B1" s="110"/>
      <c r="C1" s="110"/>
      <c r="D1" s="110"/>
      <c r="E1" s="110"/>
    </row>
    <row r="2" spans="1:5" ht="18.75" customHeight="1">
      <c r="A2" s="6"/>
      <c r="B2" s="7"/>
      <c r="C2" s="8"/>
      <c r="D2" s="8"/>
      <c r="E2" s="101" t="s">
        <v>54</v>
      </c>
    </row>
    <row r="3" spans="1:5" ht="54" customHeight="1">
      <c r="A3" s="108" t="s">
        <v>125</v>
      </c>
      <c r="B3" s="108"/>
      <c r="C3" s="108"/>
      <c r="D3" s="108"/>
      <c r="E3" s="108"/>
    </row>
    <row r="4" spans="1:5" ht="18.75" customHeight="1">
      <c r="A4" s="109" t="s">
        <v>6</v>
      </c>
      <c r="B4" s="109"/>
      <c r="C4" s="109"/>
      <c r="D4" s="109"/>
      <c r="E4" s="109"/>
    </row>
    <row r="5" spans="1:5" ht="35.25" customHeight="1">
      <c r="A5" s="4" t="s">
        <v>0</v>
      </c>
      <c r="B5" s="4" t="s">
        <v>137</v>
      </c>
      <c r="C5" s="4" t="s">
        <v>141</v>
      </c>
      <c r="D5" s="4" t="s">
        <v>24</v>
      </c>
      <c r="E5" s="80" t="s">
        <v>1</v>
      </c>
    </row>
    <row r="6" spans="1:5" ht="13.5" customHeight="1">
      <c r="A6" s="4">
        <v>1</v>
      </c>
      <c r="B6" s="4">
        <v>2</v>
      </c>
      <c r="C6" s="4">
        <v>3</v>
      </c>
      <c r="D6" s="4">
        <v>4</v>
      </c>
      <c r="E6" s="80">
        <v>5</v>
      </c>
    </row>
    <row r="7" spans="1:5" ht="24" customHeight="1">
      <c r="A7" s="10" t="s">
        <v>53</v>
      </c>
      <c r="B7" s="11">
        <f>B8+B14+B18+B13</f>
        <v>190268442</v>
      </c>
      <c r="C7" s="11">
        <f>C8+C14+C18+C13</f>
        <v>191397205</v>
      </c>
      <c r="D7" s="12">
        <f>C7/B7*100</f>
        <v>100.5932476180154</v>
      </c>
      <c r="E7" s="102">
        <f>E8+E14+E18+E13</f>
        <v>99.99927547688065</v>
      </c>
    </row>
    <row r="8" spans="1:5" ht="18.75" customHeight="1">
      <c r="A8" s="13" t="s">
        <v>132</v>
      </c>
      <c r="B8" s="11">
        <f>SUM(B9:B12)</f>
        <v>97827621</v>
      </c>
      <c r="C8" s="11">
        <f>SUM(C9:C12)</f>
        <v>100074294</v>
      </c>
      <c r="D8" s="12">
        <f aca="true" t="shared" si="0" ref="D8:D21">C8/B8*100</f>
        <v>102.2965630534959</v>
      </c>
      <c r="E8" s="102">
        <f>SUM(E9:E12)</f>
        <v>52.28618359395583</v>
      </c>
    </row>
    <row r="9" spans="1:5" ht="18.75" customHeight="1">
      <c r="A9" s="14" t="s">
        <v>127</v>
      </c>
      <c r="B9" s="15">
        <f>27549485+6895919+3457893</f>
        <v>37903297</v>
      </c>
      <c r="C9" s="15">
        <f>27504227+7159710+3551753</f>
        <v>38215690</v>
      </c>
      <c r="D9" s="16">
        <f t="shared" si="0"/>
        <v>100.82418423917055</v>
      </c>
      <c r="E9" s="103">
        <f>C9/C7*100</f>
        <v>19.966691781105165</v>
      </c>
    </row>
    <row r="10" spans="1:5" ht="18.75" customHeight="1">
      <c r="A10" s="14" t="s">
        <v>49</v>
      </c>
      <c r="B10" s="15">
        <f>9829725+488000+1000+16642</f>
        <v>10335367</v>
      </c>
      <c r="C10" s="15">
        <f>10083313+511166+753+16744</f>
        <v>10611976</v>
      </c>
      <c r="D10" s="16">
        <f t="shared" si="0"/>
        <v>102.67633457041245</v>
      </c>
      <c r="E10" s="103">
        <f>C10/C7*100</f>
        <v>5.544478039791647</v>
      </c>
    </row>
    <row r="11" spans="1:5" ht="30.75" customHeight="1">
      <c r="A11" s="17" t="s">
        <v>75</v>
      </c>
      <c r="B11" s="15">
        <f>33305071+9401810</f>
        <v>42706881</v>
      </c>
      <c r="C11" s="15">
        <f>9764563+34716012</f>
        <v>44480575</v>
      </c>
      <c r="D11" s="16">
        <f t="shared" si="0"/>
        <v>104.15318084221603</v>
      </c>
      <c r="E11" s="103">
        <f>C11/C7*100</f>
        <v>23.239929235121277</v>
      </c>
    </row>
    <row r="12" spans="1:5" ht="18.75" customHeight="1">
      <c r="A12" s="17" t="s">
        <v>76</v>
      </c>
      <c r="B12" s="18">
        <f>5008019+1874057</f>
        <v>6882076</v>
      </c>
      <c r="C12" s="18">
        <f>4937113+1828940</f>
        <v>6766053</v>
      </c>
      <c r="D12" s="19">
        <f t="shared" si="0"/>
        <v>98.31412788815467</v>
      </c>
      <c r="E12" s="104">
        <f>C12/C7*100</f>
        <v>3.5350845379377405</v>
      </c>
    </row>
    <row r="13" spans="1:10" s="23" customFormat="1" ht="30.75" customHeight="1">
      <c r="A13" s="20" t="s">
        <v>51</v>
      </c>
      <c r="B13" s="21">
        <f>13765+463264</f>
        <v>477029</v>
      </c>
      <c r="C13" s="21">
        <f>14543+465383</f>
        <v>479926</v>
      </c>
      <c r="D13" s="22">
        <f t="shared" si="0"/>
        <v>100.60730060436578</v>
      </c>
      <c r="E13" s="105">
        <f>C13/C7*100</f>
        <v>0.25074869823726004</v>
      </c>
      <c r="G13" s="100"/>
      <c r="H13" s="100"/>
      <c r="I13" s="100"/>
      <c r="J13" s="100"/>
    </row>
    <row r="14" spans="1:5" ht="21" customHeight="1">
      <c r="A14" s="13" t="s">
        <v>130</v>
      </c>
      <c r="B14" s="11">
        <f>SUM(B15:B17)</f>
        <v>59832153</v>
      </c>
      <c r="C14" s="11">
        <f>SUM(C15:C17)</f>
        <v>59832153</v>
      </c>
      <c r="D14" s="12">
        <f t="shared" si="0"/>
        <v>100</v>
      </c>
      <c r="E14" s="105">
        <v>31.26</v>
      </c>
    </row>
    <row r="15" spans="1:5" ht="18.75" customHeight="1">
      <c r="A15" s="24" t="s">
        <v>2</v>
      </c>
      <c r="B15" s="15">
        <f>23926781+31480933</f>
        <v>55407714</v>
      </c>
      <c r="C15" s="15">
        <f>23926781+31480933</f>
        <v>55407714</v>
      </c>
      <c r="D15" s="16">
        <f t="shared" si="0"/>
        <v>100</v>
      </c>
      <c r="E15" s="103">
        <f>C15/C7*100</f>
        <v>28.949071643966796</v>
      </c>
    </row>
    <row r="16" spans="1:5" ht="18.75" customHeight="1">
      <c r="A16" s="24" t="s">
        <v>17</v>
      </c>
      <c r="B16" s="15">
        <f>1174316+1976382</f>
        <v>3150698</v>
      </c>
      <c r="C16" s="15">
        <f>1174316+1976382</f>
        <v>3150698</v>
      </c>
      <c r="D16" s="16">
        <f t="shared" si="0"/>
        <v>100</v>
      </c>
      <c r="E16" s="103">
        <f>C16/C7*100</f>
        <v>1.6461567450789056</v>
      </c>
    </row>
    <row r="17" spans="1:5" ht="18.75" customHeight="1">
      <c r="A17" s="24" t="s">
        <v>126</v>
      </c>
      <c r="B17" s="15">
        <f>1123741+150000</f>
        <v>1273741</v>
      </c>
      <c r="C17" s="15">
        <f>150000+1123741</f>
        <v>1273741</v>
      </c>
      <c r="D17" s="16">
        <f>C17/B17*100</f>
        <v>100</v>
      </c>
      <c r="E17" s="103">
        <v>0.66</v>
      </c>
    </row>
    <row r="18" spans="1:5" ht="21" customHeight="1">
      <c r="A18" s="13" t="s">
        <v>52</v>
      </c>
      <c r="B18" s="11">
        <f>SUM(B19:B21)</f>
        <v>32131639</v>
      </c>
      <c r="C18" s="11">
        <f>SUM(C19:C21)</f>
        <v>31010832</v>
      </c>
      <c r="D18" s="12">
        <f t="shared" si="0"/>
        <v>96.51182748567541</v>
      </c>
      <c r="E18" s="102">
        <f>SUM(E19:E21)</f>
        <v>16.20234318468757</v>
      </c>
    </row>
    <row r="19" spans="1:5" ht="18.75" customHeight="1">
      <c r="A19" s="14" t="s">
        <v>3</v>
      </c>
      <c r="B19" s="15">
        <f>5672726+1853951</f>
        <v>7526677</v>
      </c>
      <c r="C19" s="15">
        <f>5467670+1850724</f>
        <v>7318394</v>
      </c>
      <c r="D19" s="16">
        <f t="shared" si="0"/>
        <v>97.23273630580933</v>
      </c>
      <c r="E19" s="103">
        <f>C19/C7*100</f>
        <v>3.8236681669411</v>
      </c>
    </row>
    <row r="20" spans="1:5" ht="18.75" customHeight="1">
      <c r="A20" s="14" t="s">
        <v>4</v>
      </c>
      <c r="B20" s="15">
        <f>17086102+5798475</f>
        <v>22884577</v>
      </c>
      <c r="C20" s="15">
        <f>16220134+5791821</f>
        <v>22011955</v>
      </c>
      <c r="D20" s="16">
        <f t="shared" si="0"/>
        <v>96.18685545291049</v>
      </c>
      <c r="E20" s="103">
        <f>C20/C7*100</f>
        <v>11.500666898453401</v>
      </c>
    </row>
    <row r="21" spans="1:5" ht="18.75" customHeight="1">
      <c r="A21" s="14" t="s">
        <v>5</v>
      </c>
      <c r="B21" s="15">
        <f>180000+1540385</f>
        <v>1720385</v>
      </c>
      <c r="C21" s="15">
        <f>180000+1500483</f>
        <v>1680483</v>
      </c>
      <c r="D21" s="16">
        <f t="shared" si="0"/>
        <v>97.68063543916043</v>
      </c>
      <c r="E21" s="103">
        <f>C21/C7*100</f>
        <v>0.8780081192930691</v>
      </c>
    </row>
    <row r="22" spans="1:5" ht="18.75" customHeight="1">
      <c r="A22" s="25"/>
      <c r="B22" s="26"/>
      <c r="C22" s="26"/>
      <c r="D22" s="26"/>
      <c r="E22" s="106"/>
    </row>
    <row r="23" spans="1:5" ht="18.75" customHeight="1">
      <c r="A23" s="27"/>
      <c r="B23" s="28"/>
      <c r="C23" s="28"/>
      <c r="D23" s="28"/>
      <c r="E23" s="101"/>
    </row>
    <row r="24" spans="1:5" ht="18.75" customHeight="1">
      <c r="A24" s="27"/>
      <c r="B24" s="28"/>
      <c r="C24" s="28"/>
      <c r="D24" s="28"/>
      <c r="E24" s="101"/>
    </row>
  </sheetData>
  <mergeCells count="3">
    <mergeCell ref="A3:E3"/>
    <mergeCell ref="A4:E4"/>
    <mergeCell ref="A1:E1"/>
  </mergeCells>
  <printOptions/>
  <pageMargins left="0.77" right="0" top="0.4" bottom="0.984251968503937" header="0.25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E7" sqref="E7"/>
    </sheetView>
  </sheetViews>
  <sheetFormatPr defaultColWidth="9.00390625" defaultRowHeight="12.75"/>
  <cols>
    <col min="1" max="1" width="3.25390625" style="29" customWidth="1"/>
    <col min="2" max="2" width="44.875" style="51" customWidth="1"/>
    <col min="3" max="3" width="14.75390625" style="30" customWidth="1"/>
    <col min="4" max="4" width="14.125" style="30" customWidth="1"/>
    <col min="5" max="5" width="8.125" style="30" customWidth="1"/>
    <col min="6" max="6" width="11.75390625" style="77" customWidth="1"/>
    <col min="7" max="7" width="9.125" style="30" customWidth="1"/>
    <col min="8" max="8" width="11.25390625" style="30" bestFit="1" customWidth="1"/>
    <col min="9" max="13" width="9.125" style="30" customWidth="1"/>
    <col min="14" max="16384" width="9.125" style="31" customWidth="1"/>
  </cols>
  <sheetData>
    <row r="1" spans="1:6" ht="15">
      <c r="A1" s="112">
        <v>42</v>
      </c>
      <c r="B1" s="112"/>
      <c r="C1" s="112"/>
      <c r="D1" s="112"/>
      <c r="E1" s="112"/>
      <c r="F1" s="112"/>
    </row>
    <row r="2" spans="2:6" ht="19.5" customHeight="1">
      <c r="B2" s="43"/>
      <c r="C2" s="32"/>
      <c r="D2" s="33"/>
      <c r="E2" s="33"/>
      <c r="F2" s="71" t="s">
        <v>128</v>
      </c>
    </row>
    <row r="3" spans="1:13" ht="39" customHeight="1">
      <c r="A3" s="111" t="s">
        <v>55</v>
      </c>
      <c r="B3" s="111"/>
      <c r="C3" s="111"/>
      <c r="D3" s="111"/>
      <c r="E3" s="111"/>
      <c r="F3" s="111"/>
      <c r="G3" s="31"/>
      <c r="H3" s="31"/>
      <c r="I3" s="31"/>
      <c r="J3" s="31"/>
      <c r="K3" s="31"/>
      <c r="L3" s="31"/>
      <c r="M3" s="31"/>
    </row>
    <row r="4" spans="1:6" ht="30.75" customHeight="1">
      <c r="A4" s="34" t="s">
        <v>26</v>
      </c>
      <c r="B4" s="2" t="s">
        <v>7</v>
      </c>
      <c r="C4" s="2" t="s">
        <v>139</v>
      </c>
      <c r="D4" s="2" t="s">
        <v>140</v>
      </c>
      <c r="E4" s="2" t="s">
        <v>46</v>
      </c>
      <c r="F4" s="72" t="s">
        <v>25</v>
      </c>
    </row>
    <row r="5" spans="1:6" ht="12.75" customHeight="1">
      <c r="A5" s="34">
        <v>1</v>
      </c>
      <c r="B5" s="1">
        <v>2</v>
      </c>
      <c r="C5" s="29">
        <v>3</v>
      </c>
      <c r="D5" s="2">
        <v>4</v>
      </c>
      <c r="E5" s="29">
        <v>5</v>
      </c>
      <c r="F5" s="72">
        <v>6</v>
      </c>
    </row>
    <row r="6" spans="1:6" ht="19.5" customHeight="1">
      <c r="A6" s="34"/>
      <c r="B6" s="44" t="s">
        <v>79</v>
      </c>
      <c r="C6" s="35">
        <f>C8+C9+C10+C12+C13+C15+C17+C19+C20+C22+C24+C25+C28+C30+C32+C34+C36+C38+C40+C23+C27</f>
        <v>214964363</v>
      </c>
      <c r="D6" s="35">
        <f>D8+D9+D10+D12+D13+D15+D17+D19+D20+D22+D24+D25+D28+D30+D32+D34+D36+D38+D40+D23+D27</f>
        <v>209078444</v>
      </c>
      <c r="E6" s="36">
        <f>D6/C6*100</f>
        <v>97.2619094077468</v>
      </c>
      <c r="F6" s="73">
        <f>F8+F9+F10+F12+F13+F15+F17+F19+F20+F22+F23+F24+F25+F27+F28+F30+F32+F34+F36+F38+F40</f>
        <v>100</v>
      </c>
    </row>
    <row r="7" spans="1:8" ht="19.5" customHeight="1">
      <c r="A7" s="34"/>
      <c r="B7" s="3" t="s">
        <v>92</v>
      </c>
      <c r="C7" s="35">
        <f>C11+C14+C16+C18+C21+C26+C29+C31+C35+C37+C39+C41+C33</f>
        <v>35532019</v>
      </c>
      <c r="D7" s="35">
        <f>D11+D14+D16+D18+D21+D26+D29+D31+D35+D37+D39+D41+D33</f>
        <v>33123016</v>
      </c>
      <c r="E7" s="36">
        <f>D7/C7*100</f>
        <v>93.220191062039</v>
      </c>
      <c r="F7" s="73">
        <f>D7/D6*100</f>
        <v>15.842386889008989</v>
      </c>
      <c r="H7" s="70">
        <f>F11+F14+F16+F21+F26+F29+F31+F33+F35+F37+F39+F41+F18</f>
        <v>100.00000000000001</v>
      </c>
    </row>
    <row r="8" spans="1:6" ht="18.75" customHeight="1">
      <c r="A8" s="52" t="s">
        <v>27</v>
      </c>
      <c r="B8" s="45" t="s">
        <v>8</v>
      </c>
      <c r="C8" s="37">
        <f>32938+2072</f>
        <v>35010</v>
      </c>
      <c r="D8" s="37">
        <f>31059+2071</f>
        <v>33130</v>
      </c>
      <c r="E8" s="38">
        <f aca="true" t="shared" si="0" ref="E8:E39">D8/C8*100</f>
        <v>94.63010568409025</v>
      </c>
      <c r="F8" s="74">
        <f>D8/D6*100</f>
        <v>0.01584572726206055</v>
      </c>
    </row>
    <row r="9" spans="1:13" ht="18.75" customHeight="1">
      <c r="A9" s="34" t="s">
        <v>28</v>
      </c>
      <c r="B9" s="46" t="s">
        <v>9</v>
      </c>
      <c r="C9" s="40">
        <v>500</v>
      </c>
      <c r="D9" s="40">
        <v>419</v>
      </c>
      <c r="E9" s="38">
        <f t="shared" si="0"/>
        <v>83.8</v>
      </c>
      <c r="F9" s="74">
        <f>D9/D6*100</f>
        <v>0.00020040325151836314</v>
      </c>
      <c r="G9" s="31"/>
      <c r="H9" s="31"/>
      <c r="I9" s="31"/>
      <c r="J9" s="31"/>
      <c r="K9" s="31"/>
      <c r="L9" s="31"/>
      <c r="M9" s="31"/>
    </row>
    <row r="10" spans="1:6" ht="18.75" customHeight="1">
      <c r="A10" s="113" t="s">
        <v>29</v>
      </c>
      <c r="B10" s="47" t="s">
        <v>47</v>
      </c>
      <c r="C10" s="37">
        <f>24649519+8300195</f>
        <v>32949714</v>
      </c>
      <c r="D10" s="37">
        <f>24160365+7346362</f>
        <v>31506727</v>
      </c>
      <c r="E10" s="38">
        <f t="shared" si="0"/>
        <v>95.62063877094654</v>
      </c>
      <c r="F10" s="75">
        <f>D10/D6*100</f>
        <v>15.069333020289744</v>
      </c>
    </row>
    <row r="11" spans="1:6" ht="18.75" customHeight="1">
      <c r="A11" s="114"/>
      <c r="B11" s="47" t="s">
        <v>77</v>
      </c>
      <c r="C11" s="41">
        <f>17296945+3360901</f>
        <v>20657846</v>
      </c>
      <c r="D11" s="41">
        <f>16904071+2654480</f>
        <v>19558551</v>
      </c>
      <c r="E11" s="42">
        <f t="shared" si="0"/>
        <v>94.67855941998987</v>
      </c>
      <c r="F11" s="76">
        <f>D11/D7*100</f>
        <v>59.04821891822895</v>
      </c>
    </row>
    <row r="12" spans="1:6" ht="18.75" customHeight="1">
      <c r="A12" s="34" t="s">
        <v>30</v>
      </c>
      <c r="B12" s="45" t="s">
        <v>18</v>
      </c>
      <c r="C12" s="40">
        <f>21000</f>
        <v>21000</v>
      </c>
      <c r="D12" s="40">
        <v>21000</v>
      </c>
      <c r="E12" s="39">
        <f t="shared" si="0"/>
        <v>100</v>
      </c>
      <c r="F12" s="74">
        <f>D12/D6*100</f>
        <v>0.010044077045073091</v>
      </c>
    </row>
    <row r="13" spans="1:6" ht="18.75" customHeight="1">
      <c r="A13" s="113" t="s">
        <v>31</v>
      </c>
      <c r="B13" s="45" t="s">
        <v>83</v>
      </c>
      <c r="C13" s="37">
        <f>10326444+163699</f>
        <v>10490143</v>
      </c>
      <c r="D13" s="37">
        <f>9812708+149261</f>
        <v>9961969</v>
      </c>
      <c r="E13" s="38">
        <f t="shared" si="0"/>
        <v>94.96504480444166</v>
      </c>
      <c r="F13" s="75">
        <f>D13/D6*100</f>
        <v>4.76470400745856</v>
      </c>
    </row>
    <row r="14" spans="1:6" ht="18.75" customHeight="1">
      <c r="A14" s="114"/>
      <c r="B14" s="48" t="s">
        <v>77</v>
      </c>
      <c r="C14" s="41">
        <f>6324274</f>
        <v>6324274</v>
      </c>
      <c r="D14" s="41">
        <f>6022472</f>
        <v>6022472</v>
      </c>
      <c r="E14" s="42">
        <f t="shared" si="0"/>
        <v>95.22787912098684</v>
      </c>
      <c r="F14" s="76">
        <f>D14/D7*100</f>
        <v>18.182136554231658</v>
      </c>
    </row>
    <row r="15" spans="1:6" ht="18.75" customHeight="1">
      <c r="A15" s="113" t="s">
        <v>32</v>
      </c>
      <c r="B15" s="47" t="s">
        <v>10</v>
      </c>
      <c r="C15" s="37">
        <f>1174650+294545</f>
        <v>1469195</v>
      </c>
      <c r="D15" s="37">
        <f>1165646+294368</f>
        <v>1460014</v>
      </c>
      <c r="E15" s="38">
        <f t="shared" si="0"/>
        <v>99.3750999697113</v>
      </c>
      <c r="F15" s="75">
        <f>D15/D6*100</f>
        <v>0.6983091953754927</v>
      </c>
    </row>
    <row r="16" spans="1:6" ht="18.75" customHeight="1">
      <c r="A16" s="114"/>
      <c r="B16" s="47" t="s">
        <v>77</v>
      </c>
      <c r="C16" s="41">
        <f>29200+27000</f>
        <v>56200</v>
      </c>
      <c r="D16" s="41">
        <f>29196+27000</f>
        <v>56196</v>
      </c>
      <c r="E16" s="42">
        <f t="shared" si="0"/>
        <v>99.99288256227759</v>
      </c>
      <c r="F16" s="76">
        <f>D16/D7*100</f>
        <v>0.16965846346842328</v>
      </c>
    </row>
    <row r="17" spans="1:6" ht="18.75" customHeight="1">
      <c r="A17" s="113" t="s">
        <v>33</v>
      </c>
      <c r="B17" s="45" t="s">
        <v>84</v>
      </c>
      <c r="C17" s="37">
        <f>16232237+1450034</f>
        <v>17682271</v>
      </c>
      <c r="D17" s="37">
        <f>15721922+1396853</f>
        <v>17118775</v>
      </c>
      <c r="E17" s="38">
        <f t="shared" si="0"/>
        <v>96.81321477314764</v>
      </c>
      <c r="F17" s="75">
        <f>D17/D6*100</f>
        <v>8.187728334155768</v>
      </c>
    </row>
    <row r="18" spans="1:6" ht="18.75" customHeight="1">
      <c r="A18" s="114"/>
      <c r="B18" s="48" t="s">
        <v>77</v>
      </c>
      <c r="C18" s="41">
        <f>812925</f>
        <v>812925</v>
      </c>
      <c r="D18" s="41">
        <f>710073</f>
        <v>710073</v>
      </c>
      <c r="E18" s="42">
        <f t="shared" si="0"/>
        <v>87.34791032383062</v>
      </c>
      <c r="F18" s="76">
        <f>D18/D7*100</f>
        <v>2.143745001964797</v>
      </c>
    </row>
    <row r="19" spans="1:6" ht="18.75" customHeight="1">
      <c r="A19" s="34" t="s">
        <v>34</v>
      </c>
      <c r="B19" s="46" t="s">
        <v>11</v>
      </c>
      <c r="C19" s="40">
        <f>311547</f>
        <v>311547</v>
      </c>
      <c r="D19" s="40">
        <f>307205</f>
        <v>307205</v>
      </c>
      <c r="E19" s="39">
        <f t="shared" si="0"/>
        <v>98.60630980237332</v>
      </c>
      <c r="F19" s="74">
        <f>D19/D6*100</f>
        <v>0.14693288993484185</v>
      </c>
    </row>
    <row r="20" spans="1:6" ht="18.75" customHeight="1">
      <c r="A20" s="113" t="s">
        <v>35</v>
      </c>
      <c r="B20" s="47" t="s">
        <v>23</v>
      </c>
      <c r="C20" s="37">
        <f>1931871+5370159</f>
        <v>7302030</v>
      </c>
      <c r="D20" s="37">
        <f>1878313+5369363</f>
        <v>7247676</v>
      </c>
      <c r="E20" s="38">
        <f t="shared" si="0"/>
        <v>99.25563165311564</v>
      </c>
      <c r="F20" s="75">
        <f>D20/D6*100</f>
        <v>3.466486482939389</v>
      </c>
    </row>
    <row r="21" spans="1:8" ht="18.75" customHeight="1">
      <c r="A21" s="114"/>
      <c r="B21" s="47" t="s">
        <v>77</v>
      </c>
      <c r="C21" s="41">
        <f>77747+198100</f>
        <v>275847</v>
      </c>
      <c r="D21" s="41">
        <f>51661+197987</f>
        <v>249648</v>
      </c>
      <c r="E21" s="42">
        <f t="shared" si="0"/>
        <v>90.50234369052409</v>
      </c>
      <c r="F21" s="76">
        <f>D21/D7*100</f>
        <v>0.7536994819553872</v>
      </c>
      <c r="H21" s="69"/>
    </row>
    <row r="22" spans="1:6" ht="18.75" customHeight="1">
      <c r="A22" s="53" t="s">
        <v>36</v>
      </c>
      <c r="B22" s="46" t="s">
        <v>78</v>
      </c>
      <c r="C22" s="40">
        <v>79000</v>
      </c>
      <c r="D22" s="40">
        <v>70915</v>
      </c>
      <c r="E22" s="39">
        <f t="shared" si="0"/>
        <v>89.76582278481013</v>
      </c>
      <c r="F22" s="74">
        <f>D22/D6*100</f>
        <v>0.033917891602445634</v>
      </c>
    </row>
    <row r="23" spans="1:6" ht="18.75" customHeight="1">
      <c r="A23" s="53" t="s">
        <v>37</v>
      </c>
      <c r="B23" s="46" t="s">
        <v>12</v>
      </c>
      <c r="C23" s="40">
        <v>1921363</v>
      </c>
      <c r="D23" s="40">
        <v>1640918</v>
      </c>
      <c r="E23" s="39">
        <f>D23/C23*100</f>
        <v>85.40385132845798</v>
      </c>
      <c r="F23" s="74">
        <f>D23/D6*100</f>
        <v>0.7848336579355834</v>
      </c>
    </row>
    <row r="24" spans="1:8" ht="18.75" customHeight="1">
      <c r="A24" s="34" t="s">
        <v>38</v>
      </c>
      <c r="B24" s="47" t="s">
        <v>13</v>
      </c>
      <c r="C24" s="40">
        <v>53716</v>
      </c>
      <c r="D24" s="40">
        <v>25945</v>
      </c>
      <c r="E24" s="39">
        <f t="shared" si="0"/>
        <v>48.30032020254673</v>
      </c>
      <c r="F24" s="74">
        <f>D24/D6*100</f>
        <v>0.012409218044496257</v>
      </c>
      <c r="H24" s="69"/>
    </row>
    <row r="25" spans="1:6" ht="18.75" customHeight="1">
      <c r="A25" s="113" t="s">
        <v>39</v>
      </c>
      <c r="B25" s="45" t="s">
        <v>22</v>
      </c>
      <c r="C25" s="37">
        <f>41640800+31529343</f>
        <v>73170143</v>
      </c>
      <c r="D25" s="37">
        <f>41398860+31311179</f>
        <v>72710039</v>
      </c>
      <c r="E25" s="38">
        <f t="shared" si="0"/>
        <v>99.37118614077329</v>
      </c>
      <c r="F25" s="75">
        <f>D25/D6*100</f>
        <v>34.77643969839377</v>
      </c>
    </row>
    <row r="26" spans="1:8" ht="18.75" customHeight="1">
      <c r="A26" s="114"/>
      <c r="B26" s="48" t="s">
        <v>77</v>
      </c>
      <c r="C26" s="41">
        <f>1086419+512668</f>
        <v>1599087</v>
      </c>
      <c r="D26" s="41">
        <f>997224+478502</f>
        <v>1475726</v>
      </c>
      <c r="E26" s="42">
        <f t="shared" si="0"/>
        <v>92.28553543365683</v>
      </c>
      <c r="F26" s="76">
        <f>D26/D7*100</f>
        <v>4.455288733368966</v>
      </c>
      <c r="H26" s="69">
        <f>D25+D27+D34</f>
        <v>81383515</v>
      </c>
    </row>
    <row r="27" spans="1:6" ht="18.75" customHeight="1">
      <c r="A27" s="34" t="s">
        <v>40</v>
      </c>
      <c r="B27" s="46" t="s">
        <v>80</v>
      </c>
      <c r="C27" s="40">
        <v>187607</v>
      </c>
      <c r="D27" s="40">
        <v>150816</v>
      </c>
      <c r="E27" s="39">
        <f>D27/C27*100</f>
        <v>80.38932449215648</v>
      </c>
      <c r="F27" s="74">
        <f>D27/D6*100</f>
        <v>0.07213369160141636</v>
      </c>
    </row>
    <row r="28" spans="1:6" ht="18.75" customHeight="1">
      <c r="A28" s="113" t="s">
        <v>41</v>
      </c>
      <c r="B28" s="49" t="s">
        <v>48</v>
      </c>
      <c r="C28" s="37">
        <f>1039537+382471</f>
        <v>1422008</v>
      </c>
      <c r="D28" s="37">
        <f>960845+377340</f>
        <v>1338185</v>
      </c>
      <c r="E28" s="38">
        <f t="shared" si="0"/>
        <v>94.1053074244308</v>
      </c>
      <c r="F28" s="75">
        <f>D28/D6*100</f>
        <v>0.6400396781219588</v>
      </c>
    </row>
    <row r="29" spans="1:6" ht="18.75" customHeight="1">
      <c r="A29" s="114"/>
      <c r="B29" s="50" t="s">
        <v>77</v>
      </c>
      <c r="C29" s="41">
        <v>340000</v>
      </c>
      <c r="D29" s="41">
        <v>340000</v>
      </c>
      <c r="E29" s="42">
        <f t="shared" si="0"/>
        <v>100</v>
      </c>
      <c r="F29" s="76">
        <f>D29/D7*100</f>
        <v>1.026476574476189</v>
      </c>
    </row>
    <row r="30" spans="1:6" ht="18.75" customHeight="1">
      <c r="A30" s="113" t="s">
        <v>42</v>
      </c>
      <c r="B30" s="45" t="s">
        <v>19</v>
      </c>
      <c r="C30" s="37">
        <f>29348237+8848578</f>
        <v>38196815</v>
      </c>
      <c r="D30" s="37">
        <f>28448027+8748538</f>
        <v>37196565</v>
      </c>
      <c r="E30" s="38">
        <f t="shared" si="0"/>
        <v>97.38132616554547</v>
      </c>
      <c r="F30" s="75">
        <f>D30/D6*100</f>
        <v>17.79072212724139</v>
      </c>
    </row>
    <row r="31" spans="1:6" ht="18.75" customHeight="1">
      <c r="A31" s="114"/>
      <c r="B31" s="48" t="s">
        <v>77</v>
      </c>
      <c r="C31" s="41">
        <f>100378+276809</f>
        <v>377187</v>
      </c>
      <c r="D31" s="41">
        <f>98117+260183</f>
        <v>358300</v>
      </c>
      <c r="E31" s="42">
        <f t="shared" si="0"/>
        <v>94.9926694186173</v>
      </c>
      <c r="F31" s="76">
        <f>D31/D7*100</f>
        <v>1.0817251665729957</v>
      </c>
    </row>
    <row r="32" spans="1:6" ht="18.75" customHeight="1">
      <c r="A32" s="113" t="s">
        <v>43</v>
      </c>
      <c r="B32" s="47" t="s">
        <v>20</v>
      </c>
      <c r="C32" s="37">
        <f>706614+185093</f>
        <v>891707</v>
      </c>
      <c r="D32" s="37">
        <f>706197+184816</f>
        <v>891013</v>
      </c>
      <c r="E32" s="38">
        <f t="shared" si="0"/>
        <v>99.92217174475473</v>
      </c>
      <c r="F32" s="75">
        <f>D32/D6*100</f>
        <v>0.4261620581029386</v>
      </c>
    </row>
    <row r="33" spans="1:6" ht="18.75" customHeight="1">
      <c r="A33" s="114"/>
      <c r="B33" s="48" t="s">
        <v>77</v>
      </c>
      <c r="C33" s="41">
        <v>4707</v>
      </c>
      <c r="D33" s="41">
        <f>4707</f>
        <v>4707</v>
      </c>
      <c r="E33" s="42">
        <f>D33/C33*100</f>
        <v>100</v>
      </c>
      <c r="F33" s="76">
        <f>D33/D7*100</f>
        <v>0.0142106624589983</v>
      </c>
    </row>
    <row r="34" spans="1:6" ht="18.75" customHeight="1">
      <c r="A34" s="115" t="s">
        <v>44</v>
      </c>
      <c r="B34" s="45" t="s">
        <v>21</v>
      </c>
      <c r="C34" s="37">
        <f>3804107+5183868</f>
        <v>8987975</v>
      </c>
      <c r="D34" s="37">
        <f>3547603+4975057</f>
        <v>8522660</v>
      </c>
      <c r="E34" s="38">
        <f t="shared" si="0"/>
        <v>94.8229161741104</v>
      </c>
      <c r="F34" s="75">
        <f>D34/D6*100</f>
        <v>4.076297793760126</v>
      </c>
    </row>
    <row r="35" spans="1:6" ht="18.75" customHeight="1">
      <c r="A35" s="114"/>
      <c r="B35" s="48" t="s">
        <v>77</v>
      </c>
      <c r="C35" s="41">
        <v>26000</v>
      </c>
      <c r="D35" s="41">
        <v>14190</v>
      </c>
      <c r="E35" s="42">
        <f t="shared" si="0"/>
        <v>54.57692307692308</v>
      </c>
      <c r="F35" s="76">
        <f>D35/D7*100</f>
        <v>0.042840301740638596</v>
      </c>
    </row>
    <row r="36" spans="1:6" ht="18.75" customHeight="1">
      <c r="A36" s="113" t="s">
        <v>45</v>
      </c>
      <c r="B36" s="45" t="s">
        <v>14</v>
      </c>
      <c r="C36" s="37">
        <f>10400013+300000</f>
        <v>10700013</v>
      </c>
      <c r="D36" s="37">
        <f>9577994+291871</f>
        <v>9869865</v>
      </c>
      <c r="E36" s="38">
        <f t="shared" si="0"/>
        <v>92.24161690270843</v>
      </c>
      <c r="F36" s="75">
        <f>D36/D6*100</f>
        <v>4.720651642117635</v>
      </c>
    </row>
    <row r="37" spans="1:6" ht="18.75" customHeight="1">
      <c r="A37" s="114"/>
      <c r="B37" s="48" t="s">
        <v>77</v>
      </c>
      <c r="C37" s="41">
        <f>4230046</f>
        <v>4230046</v>
      </c>
      <c r="D37" s="41">
        <f>3545056</f>
        <v>3545056</v>
      </c>
      <c r="E37" s="42">
        <f t="shared" si="0"/>
        <v>83.80655907760814</v>
      </c>
      <c r="F37" s="76">
        <f>D37/D7*100</f>
        <v>10.702696880018415</v>
      </c>
    </row>
    <row r="38" spans="1:6" ht="18.75" customHeight="1">
      <c r="A38" s="113" t="s">
        <v>81</v>
      </c>
      <c r="B38" s="45" t="s">
        <v>15</v>
      </c>
      <c r="C38" s="37">
        <f>2041175+2536907</f>
        <v>4578082</v>
      </c>
      <c r="D38" s="37">
        <f>2002612+2496907</f>
        <v>4499519</v>
      </c>
      <c r="E38" s="38">
        <f t="shared" si="0"/>
        <v>98.2839320047129</v>
      </c>
      <c r="F38" s="75">
        <f>D38/D6*100</f>
        <v>2.1520721667509637</v>
      </c>
    </row>
    <row r="39" spans="1:6" ht="18.75" customHeight="1">
      <c r="A39" s="114"/>
      <c r="B39" s="48" t="s">
        <v>77</v>
      </c>
      <c r="C39" s="41">
        <f>675000</f>
        <v>675000</v>
      </c>
      <c r="D39" s="41">
        <f>639167</f>
        <v>639167</v>
      </c>
      <c r="E39" s="42">
        <f t="shared" si="0"/>
        <v>94.6914074074074</v>
      </c>
      <c r="F39" s="76">
        <f>D39/D7*100</f>
        <v>1.9296763314065362</v>
      </c>
    </row>
    <row r="40" spans="1:6" ht="18.75" customHeight="1">
      <c r="A40" s="113" t="s">
        <v>82</v>
      </c>
      <c r="B40" s="45" t="s">
        <v>16</v>
      </c>
      <c r="C40" s="37">
        <f>4514524</f>
        <v>4514524</v>
      </c>
      <c r="D40" s="37">
        <f>4505089</f>
        <v>4505089</v>
      </c>
      <c r="E40" s="38">
        <f>D40/C40*100</f>
        <v>99.7910078670531</v>
      </c>
      <c r="F40" s="75">
        <f>D40/D6*100</f>
        <v>2.1547362386148237</v>
      </c>
    </row>
    <row r="41" spans="1:6" ht="18.75" customHeight="1">
      <c r="A41" s="114"/>
      <c r="B41" s="48" t="s">
        <v>77</v>
      </c>
      <c r="C41" s="41">
        <f>152900</f>
        <v>152900</v>
      </c>
      <c r="D41" s="41">
        <f>148930</f>
        <v>148930</v>
      </c>
      <c r="E41" s="42">
        <f>D41/C41*100</f>
        <v>97.40353172007849</v>
      </c>
      <c r="F41" s="76">
        <f>D41/D7*100</f>
        <v>0.4496269301080553</v>
      </c>
    </row>
  </sheetData>
  <mergeCells count="15">
    <mergeCell ref="A32:A33"/>
    <mergeCell ref="A30:A31"/>
    <mergeCell ref="A28:A29"/>
    <mergeCell ref="A40:A41"/>
    <mergeCell ref="A38:A39"/>
    <mergeCell ref="A36:A37"/>
    <mergeCell ref="A34:A35"/>
    <mergeCell ref="A15:A16"/>
    <mergeCell ref="A17:A18"/>
    <mergeCell ref="A20:A21"/>
    <mergeCell ref="A25:A26"/>
    <mergeCell ref="A3:F3"/>
    <mergeCell ref="A1:F1"/>
    <mergeCell ref="A10:A11"/>
    <mergeCell ref="A13:A14"/>
  </mergeCells>
  <printOptions/>
  <pageMargins left="0.5" right="0" top="0.37" bottom="0.36" header="0.25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26" sqref="I26"/>
    </sheetView>
  </sheetViews>
  <sheetFormatPr defaultColWidth="9.00390625" defaultRowHeight="12.75"/>
  <cols>
    <col min="1" max="1" width="4.875" style="5" customWidth="1"/>
    <col min="2" max="2" width="44.375" style="5" customWidth="1"/>
    <col min="3" max="3" width="12.125" style="5" customWidth="1"/>
    <col min="4" max="4" width="13.25390625" style="5" customWidth="1"/>
    <col min="5" max="5" width="8.125" style="5" customWidth="1"/>
    <col min="6" max="6" width="11.75390625" style="78" customWidth="1"/>
    <col min="7" max="7" width="9.125" style="5" customWidth="1"/>
    <col min="8" max="8" width="11.25390625" style="5" bestFit="1" customWidth="1"/>
    <col min="9" max="9" width="13.625" style="5" customWidth="1"/>
    <col min="10" max="16384" width="9.125" style="5" customWidth="1"/>
  </cols>
  <sheetData>
    <row r="1" spans="1:6" ht="15">
      <c r="A1" s="116">
        <v>41</v>
      </c>
      <c r="B1" s="116"/>
      <c r="C1" s="116"/>
      <c r="D1" s="116"/>
      <c r="E1" s="116"/>
      <c r="F1" s="116"/>
    </row>
    <row r="2" ht="14.25">
      <c r="F2" s="78" t="s">
        <v>50</v>
      </c>
    </row>
    <row r="4" spans="1:6" s="65" customFormat="1" ht="18">
      <c r="A4" s="117" t="s">
        <v>57</v>
      </c>
      <c r="B4" s="117"/>
      <c r="C4" s="117"/>
      <c r="D4" s="117"/>
      <c r="E4" s="117"/>
      <c r="F4" s="117"/>
    </row>
    <row r="6" spans="1:6" ht="30.75" customHeight="1">
      <c r="A6" s="54" t="s">
        <v>26</v>
      </c>
      <c r="B6" s="54" t="s">
        <v>58</v>
      </c>
      <c r="C6" s="54" t="s">
        <v>137</v>
      </c>
      <c r="D6" s="54" t="s">
        <v>138</v>
      </c>
      <c r="E6" s="55" t="s">
        <v>59</v>
      </c>
      <c r="F6" s="79" t="s">
        <v>25</v>
      </c>
    </row>
    <row r="7" spans="1:6" ht="12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80">
        <v>6</v>
      </c>
    </row>
    <row r="8" spans="1:6" ht="24.75" customHeight="1">
      <c r="A8" s="4"/>
      <c r="B8" s="4" t="s">
        <v>60</v>
      </c>
      <c r="C8" s="56">
        <f aca="true" t="shared" si="0" ref="C8:D15">C16+C24</f>
        <v>214964363</v>
      </c>
      <c r="D8" s="56">
        <f t="shared" si="0"/>
        <v>209078444</v>
      </c>
      <c r="E8" s="57">
        <f aca="true" t="shared" si="1" ref="E8:E26">D8/C8*100</f>
        <v>97.2619094077468</v>
      </c>
      <c r="F8" s="81">
        <f>F9+F15</f>
        <v>100</v>
      </c>
    </row>
    <row r="9" spans="1:6" ht="19.5" customHeight="1">
      <c r="A9" s="14" t="s">
        <v>27</v>
      </c>
      <c r="B9" s="66" t="s">
        <v>61</v>
      </c>
      <c r="C9" s="58">
        <f t="shared" si="0"/>
        <v>179432344</v>
      </c>
      <c r="D9" s="58">
        <f t="shared" si="0"/>
        <v>175955428</v>
      </c>
      <c r="E9" s="59">
        <f t="shared" si="1"/>
        <v>98.06226908566718</v>
      </c>
      <c r="F9" s="82">
        <f>D9/D8*100</f>
        <v>84.15761311099101</v>
      </c>
    </row>
    <row r="10" spans="1:6" ht="19.5" customHeight="1">
      <c r="A10" s="14" t="s">
        <v>62</v>
      </c>
      <c r="B10" s="66" t="s">
        <v>136</v>
      </c>
      <c r="C10" s="58">
        <f t="shared" si="0"/>
        <v>78234586</v>
      </c>
      <c r="D10" s="58">
        <f t="shared" si="0"/>
        <v>78114772</v>
      </c>
      <c r="E10" s="59">
        <f t="shared" si="1"/>
        <v>99.8468528995603</v>
      </c>
      <c r="F10" s="82">
        <f>D10/D8*100+0.01</f>
        <v>37.371466110777064</v>
      </c>
    </row>
    <row r="11" spans="1:9" ht="19.5" customHeight="1">
      <c r="A11" s="14" t="s">
        <v>63</v>
      </c>
      <c r="B11" s="66" t="s">
        <v>64</v>
      </c>
      <c r="C11" s="58">
        <f t="shared" si="0"/>
        <v>14662236</v>
      </c>
      <c r="D11" s="58">
        <f t="shared" si="0"/>
        <v>14595169</v>
      </c>
      <c r="E11" s="59">
        <f t="shared" si="1"/>
        <v>99.54258681963651</v>
      </c>
      <c r="F11" s="82">
        <f>D11/D8*100</f>
        <v>6.980714377231542</v>
      </c>
      <c r="H11" s="60"/>
      <c r="I11" s="60"/>
    </row>
    <row r="12" spans="1:6" ht="19.5" customHeight="1">
      <c r="A12" s="14" t="s">
        <v>65</v>
      </c>
      <c r="B12" s="66" t="s">
        <v>93</v>
      </c>
      <c r="C12" s="58">
        <f t="shared" si="0"/>
        <v>9907858</v>
      </c>
      <c r="D12" s="58">
        <f t="shared" si="0"/>
        <v>9814007</v>
      </c>
      <c r="E12" s="59">
        <f t="shared" si="1"/>
        <v>99.05276195924488</v>
      </c>
      <c r="F12" s="82">
        <f>D12/D8*100</f>
        <v>4.6939353537565065</v>
      </c>
    </row>
    <row r="13" spans="1:6" ht="19.5" customHeight="1">
      <c r="A13" s="61" t="s">
        <v>66</v>
      </c>
      <c r="B13" s="66" t="s">
        <v>67</v>
      </c>
      <c r="C13" s="58">
        <f t="shared" si="0"/>
        <v>1800000</v>
      </c>
      <c r="D13" s="58">
        <f t="shared" si="0"/>
        <v>1519556</v>
      </c>
      <c r="E13" s="59">
        <f t="shared" si="1"/>
        <v>84.41977777777778</v>
      </c>
      <c r="F13" s="82">
        <f>D13/D8*100</f>
        <v>0.7267875018239566</v>
      </c>
    </row>
    <row r="14" spans="1:6" ht="19.5" customHeight="1">
      <c r="A14" s="14" t="s">
        <v>68</v>
      </c>
      <c r="B14" s="66" t="s">
        <v>69</v>
      </c>
      <c r="C14" s="58">
        <f t="shared" si="0"/>
        <v>74827664</v>
      </c>
      <c r="D14" s="58">
        <f t="shared" si="0"/>
        <v>71911924</v>
      </c>
      <c r="E14" s="59">
        <f t="shared" si="1"/>
        <v>96.10339299112691</v>
      </c>
      <c r="F14" s="82">
        <f>D14/D8*100</f>
        <v>34.39470976740194</v>
      </c>
    </row>
    <row r="15" spans="1:6" ht="19.5" customHeight="1">
      <c r="A15" s="61" t="s">
        <v>28</v>
      </c>
      <c r="B15" s="66" t="s">
        <v>70</v>
      </c>
      <c r="C15" s="58">
        <f t="shared" si="0"/>
        <v>35532019</v>
      </c>
      <c r="D15" s="58">
        <f t="shared" si="0"/>
        <v>33123016</v>
      </c>
      <c r="E15" s="59">
        <f t="shared" si="1"/>
        <v>93.220191062039</v>
      </c>
      <c r="F15" s="82">
        <f>D15/D8*100</f>
        <v>15.842386889008989</v>
      </c>
    </row>
    <row r="16" spans="1:6" ht="19.5" customHeight="1">
      <c r="A16" s="13" t="s">
        <v>71</v>
      </c>
      <c r="B16" s="13" t="s">
        <v>72</v>
      </c>
      <c r="C16" s="62">
        <f>C17+C23</f>
        <v>150229292</v>
      </c>
      <c r="D16" s="62">
        <f>D17+D23</f>
        <v>145983223</v>
      </c>
      <c r="E16" s="57">
        <f t="shared" si="1"/>
        <v>97.17360779414443</v>
      </c>
      <c r="F16" s="83">
        <f>F17+F23</f>
        <v>100</v>
      </c>
    </row>
    <row r="17" spans="1:6" ht="19.5" customHeight="1">
      <c r="A17" s="14" t="s">
        <v>27</v>
      </c>
      <c r="B17" s="66" t="s">
        <v>61</v>
      </c>
      <c r="C17" s="58">
        <f>C18+C19+C20+C21+C22</f>
        <v>119438751</v>
      </c>
      <c r="D17" s="58">
        <f>D18+D19+D20+D21+D22</f>
        <v>116832549</v>
      </c>
      <c r="E17" s="59">
        <f t="shared" si="1"/>
        <v>97.81795943261329</v>
      </c>
      <c r="F17" s="82">
        <f>SUM(F18:F22)</f>
        <v>80.03149033091289</v>
      </c>
    </row>
    <row r="18" spans="1:8" ht="19.5" customHeight="1">
      <c r="A18" s="14" t="s">
        <v>62</v>
      </c>
      <c r="B18" s="66" t="s">
        <v>136</v>
      </c>
      <c r="C18" s="63">
        <f>43073142+2932302+832719+123280+1200</f>
        <v>46962643</v>
      </c>
      <c r="D18" s="58">
        <f>46736643+123280+1200</f>
        <v>46861123</v>
      </c>
      <c r="E18" s="59">
        <f t="shared" si="1"/>
        <v>99.78382818019847</v>
      </c>
      <c r="F18" s="82">
        <f>D18/D16*100</f>
        <v>32.100348270842055</v>
      </c>
      <c r="H18" s="60"/>
    </row>
    <row r="19" spans="1:8" ht="19.5" customHeight="1">
      <c r="A19" s="14" t="s">
        <v>63</v>
      </c>
      <c r="B19" s="66" t="s">
        <v>64</v>
      </c>
      <c r="C19" s="63">
        <f>8239247+1125199</f>
        <v>9364446</v>
      </c>
      <c r="D19" s="58">
        <v>9312496</v>
      </c>
      <c r="E19" s="59">
        <f t="shared" si="1"/>
        <v>99.44524214246097</v>
      </c>
      <c r="F19" s="82">
        <f>D19/D16*100</f>
        <v>6.379154952620823</v>
      </c>
      <c r="H19" s="60"/>
    </row>
    <row r="20" spans="1:6" ht="19.5" customHeight="1">
      <c r="A20" s="14" t="s">
        <v>65</v>
      </c>
      <c r="B20" s="66" t="s">
        <v>93</v>
      </c>
      <c r="C20" s="63">
        <v>3155219</v>
      </c>
      <c r="D20" s="58">
        <v>3151517</v>
      </c>
      <c r="E20" s="59">
        <f t="shared" si="1"/>
        <v>99.88267058483103</v>
      </c>
      <c r="F20" s="82">
        <f>D20/D16*100</f>
        <v>2.1588213599038024</v>
      </c>
    </row>
    <row r="21" spans="1:6" ht="19.5" customHeight="1">
      <c r="A21" s="61" t="s">
        <v>66</v>
      </c>
      <c r="B21" s="66" t="s">
        <v>67</v>
      </c>
      <c r="C21" s="58">
        <v>1800000</v>
      </c>
      <c r="D21" s="58">
        <v>1519556</v>
      </c>
      <c r="E21" s="59">
        <f t="shared" si="1"/>
        <v>84.41977777777778</v>
      </c>
      <c r="F21" s="82">
        <f>D21/D16*100</f>
        <v>1.0409113929482157</v>
      </c>
    </row>
    <row r="22" spans="1:6" ht="19.5" customHeight="1">
      <c r="A22" s="14" t="s">
        <v>68</v>
      </c>
      <c r="B22" s="66" t="s">
        <v>69</v>
      </c>
      <c r="C22" s="58">
        <f>58280923-123280-1200</f>
        <v>58156443</v>
      </c>
      <c r="D22" s="58">
        <f>56112337-123280-1200</f>
        <v>55987857</v>
      </c>
      <c r="E22" s="59">
        <f t="shared" si="1"/>
        <v>96.2711165124043</v>
      </c>
      <c r="F22" s="82">
        <f>D22/D16*100</f>
        <v>38.35225435459799</v>
      </c>
    </row>
    <row r="23" spans="1:6" ht="19.5" customHeight="1">
      <c r="A23" s="61" t="s">
        <v>28</v>
      </c>
      <c r="B23" s="66" t="s">
        <v>70</v>
      </c>
      <c r="C23" s="58">
        <v>30790541</v>
      </c>
      <c r="D23" s="58">
        <v>29150674</v>
      </c>
      <c r="E23" s="59">
        <f t="shared" si="1"/>
        <v>94.674120860689</v>
      </c>
      <c r="F23" s="82">
        <f>D23/D16*100</f>
        <v>19.968509669087112</v>
      </c>
    </row>
    <row r="24" spans="1:6" ht="19.5" customHeight="1">
      <c r="A24" s="13" t="s">
        <v>73</v>
      </c>
      <c r="B24" s="13" t="s">
        <v>74</v>
      </c>
      <c r="C24" s="62">
        <f>C25+C31</f>
        <v>64735071</v>
      </c>
      <c r="D24" s="62">
        <f>D25+D31</f>
        <v>63095221</v>
      </c>
      <c r="E24" s="57">
        <f t="shared" si="1"/>
        <v>97.46682907013418</v>
      </c>
      <c r="F24" s="83">
        <f>F25+F31</f>
        <v>100</v>
      </c>
    </row>
    <row r="25" spans="1:6" ht="19.5" customHeight="1">
      <c r="A25" s="14" t="s">
        <v>27</v>
      </c>
      <c r="B25" s="66" t="s">
        <v>61</v>
      </c>
      <c r="C25" s="58">
        <f>C26+C27+C28+C29+C30</f>
        <v>59993593</v>
      </c>
      <c r="D25" s="58">
        <f>D26+D27+D28+D29+D30</f>
        <v>59122879</v>
      </c>
      <c r="E25" s="59">
        <f t="shared" si="1"/>
        <v>98.54865502054527</v>
      </c>
      <c r="F25" s="82">
        <f>SUM(F26:F30)</f>
        <v>93.70421097344283</v>
      </c>
    </row>
    <row r="26" spans="1:8" ht="19.5" customHeight="1">
      <c r="A26" s="14" t="s">
        <v>62</v>
      </c>
      <c r="B26" s="66" t="s">
        <v>136</v>
      </c>
      <c r="C26" s="58">
        <f>25212085+1910+90540+1866148+3185991+188818+267009+235272+224170</f>
        <v>31271943</v>
      </c>
      <c r="D26" s="63">
        <v>31253649</v>
      </c>
      <c r="E26" s="59">
        <f t="shared" si="1"/>
        <v>99.94150027710143</v>
      </c>
      <c r="F26" s="82">
        <f>D26/D24*100</f>
        <v>49.53409862848408</v>
      </c>
      <c r="H26" s="60"/>
    </row>
    <row r="27" spans="1:6" ht="19.5" customHeight="1">
      <c r="A27" s="14" t="s">
        <v>63</v>
      </c>
      <c r="B27" s="66" t="s">
        <v>64</v>
      </c>
      <c r="C27" s="58">
        <f>4651234+332+646177+47</f>
        <v>5297790</v>
      </c>
      <c r="D27" s="58">
        <v>5282673</v>
      </c>
      <c r="E27" s="59">
        <f>D27/C27*100</f>
        <v>99.71465460125826</v>
      </c>
      <c r="F27" s="82">
        <f>D27/D24*100</f>
        <v>8.37254060810723</v>
      </c>
    </row>
    <row r="28" spans="1:6" ht="19.5" customHeight="1">
      <c r="A28" s="14" t="s">
        <v>65</v>
      </c>
      <c r="B28" s="66" t="s">
        <v>93</v>
      </c>
      <c r="C28" s="58">
        <v>6752639</v>
      </c>
      <c r="D28" s="58">
        <v>6662490</v>
      </c>
      <c r="E28" s="59">
        <f>D28/C28*100</f>
        <v>98.66498120216407</v>
      </c>
      <c r="F28" s="82">
        <f>D28/D24*100</f>
        <v>10.559420974212928</v>
      </c>
    </row>
    <row r="29" spans="1:6" ht="19.5" customHeight="1">
      <c r="A29" s="61" t="s">
        <v>66</v>
      </c>
      <c r="B29" s="66" t="s">
        <v>67</v>
      </c>
      <c r="C29" s="58">
        <v>0</v>
      </c>
      <c r="D29" s="58">
        <v>0</v>
      </c>
      <c r="E29" s="59">
        <v>0</v>
      </c>
      <c r="F29" s="82">
        <f>D29/D24*100</f>
        <v>0</v>
      </c>
    </row>
    <row r="30" spans="1:6" ht="19.5" customHeight="1">
      <c r="A30" s="14" t="s">
        <v>68</v>
      </c>
      <c r="B30" s="66" t="s">
        <v>69</v>
      </c>
      <c r="C30" s="58">
        <v>16671221</v>
      </c>
      <c r="D30" s="58">
        <v>15924067</v>
      </c>
      <c r="E30" s="59">
        <f>D30/C30*100</f>
        <v>95.51830066915915</v>
      </c>
      <c r="F30" s="82">
        <f>D30/D24*100</f>
        <v>25.238150762638583</v>
      </c>
    </row>
    <row r="31" spans="1:6" ht="19.5" customHeight="1">
      <c r="A31" s="61" t="s">
        <v>28</v>
      </c>
      <c r="B31" s="66" t="s">
        <v>70</v>
      </c>
      <c r="C31" s="58">
        <v>4741478</v>
      </c>
      <c r="D31" s="58">
        <v>3972342</v>
      </c>
      <c r="E31" s="59">
        <f>D31/C31*100</f>
        <v>83.77856018735086</v>
      </c>
      <c r="F31" s="82">
        <f>D31/D24*100</f>
        <v>6.295789026557178</v>
      </c>
    </row>
    <row r="32" ht="18" customHeight="1"/>
    <row r="33" spans="3:6" ht="18" customHeight="1">
      <c r="C33" s="64"/>
      <c r="F33" s="84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</sheetData>
  <mergeCells count="2">
    <mergeCell ref="A1:F1"/>
    <mergeCell ref="A4:F4"/>
  </mergeCells>
  <printOptions/>
  <pageMargins left="0.7480314960629921" right="0.1968503937007874" top="0.38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E25" sqref="E25"/>
    </sheetView>
  </sheetViews>
  <sheetFormatPr defaultColWidth="9.00390625" defaultRowHeight="18" customHeight="1"/>
  <cols>
    <col min="1" max="1" width="3.625" style="85" customWidth="1"/>
    <col min="2" max="2" width="41.125" style="85" customWidth="1"/>
    <col min="3" max="3" width="6.25390625" style="87" customWidth="1"/>
    <col min="4" max="4" width="11.00390625" style="85" customWidth="1"/>
    <col min="5" max="5" width="10.125" style="85" customWidth="1"/>
    <col min="6" max="6" width="8.875" style="85" customWidth="1"/>
    <col min="7" max="7" width="11.25390625" style="85" customWidth="1"/>
    <col min="8" max="8" width="9.125" style="85" customWidth="1"/>
    <col min="9" max="10" width="10.875" style="85" customWidth="1"/>
    <col min="11" max="15" width="6.375" style="85" customWidth="1"/>
    <col min="16" max="16384" width="9.125" style="85" customWidth="1"/>
  </cols>
  <sheetData>
    <row r="1" spans="12:14" ht="18" customHeight="1">
      <c r="L1" s="92"/>
      <c r="M1" s="92" t="s">
        <v>129</v>
      </c>
      <c r="N1" s="92"/>
    </row>
    <row r="3" spans="1:15" ht="18" customHeight="1">
      <c r="A3" s="118" t="s">
        <v>133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5" spans="1:15" s="86" customFormat="1" ht="18" customHeight="1">
      <c r="A5" s="121" t="s">
        <v>26</v>
      </c>
      <c r="B5" s="122" t="s">
        <v>94</v>
      </c>
      <c r="C5" s="121" t="s">
        <v>95</v>
      </c>
      <c r="D5" s="121" t="s">
        <v>96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s="86" customFormat="1" ht="17.25" customHeight="1">
      <c r="A6" s="121"/>
      <c r="B6" s="122"/>
      <c r="C6" s="121"/>
      <c r="D6" s="123" t="s">
        <v>97</v>
      </c>
      <c r="E6" s="121" t="s">
        <v>98</v>
      </c>
      <c r="F6" s="121"/>
      <c r="G6" s="121"/>
      <c r="H6" s="121"/>
      <c r="I6" s="125" t="s">
        <v>70</v>
      </c>
      <c r="J6" s="123" t="s">
        <v>101</v>
      </c>
      <c r="K6" s="119" t="s">
        <v>120</v>
      </c>
      <c r="L6" s="119" t="s">
        <v>122</v>
      </c>
      <c r="M6" s="119" t="s">
        <v>123</v>
      </c>
      <c r="N6" s="119" t="s">
        <v>124</v>
      </c>
      <c r="O6" s="119" t="s">
        <v>121</v>
      </c>
    </row>
    <row r="7" spans="1:15" s="86" customFormat="1" ht="30" customHeight="1">
      <c r="A7" s="121"/>
      <c r="B7" s="122"/>
      <c r="C7" s="121"/>
      <c r="D7" s="124"/>
      <c r="E7" s="90" t="s">
        <v>99</v>
      </c>
      <c r="F7" s="89" t="s">
        <v>93</v>
      </c>
      <c r="G7" s="90" t="s">
        <v>105</v>
      </c>
      <c r="H7" s="90" t="s">
        <v>100</v>
      </c>
      <c r="I7" s="125"/>
      <c r="J7" s="124"/>
      <c r="K7" s="120"/>
      <c r="L7" s="120"/>
      <c r="M7" s="120"/>
      <c r="N7" s="120"/>
      <c r="O7" s="120"/>
    </row>
    <row r="8" spans="1:15" ht="13.5" customHeight="1">
      <c r="A8" s="89">
        <v>1</v>
      </c>
      <c r="B8" s="89">
        <v>2</v>
      </c>
      <c r="C8" s="89">
        <v>3</v>
      </c>
      <c r="D8" s="89">
        <v>4</v>
      </c>
      <c r="E8" s="89">
        <v>5</v>
      </c>
      <c r="F8" s="89">
        <v>6</v>
      </c>
      <c r="G8" s="89">
        <v>7</v>
      </c>
      <c r="H8" s="89">
        <v>8</v>
      </c>
      <c r="I8" s="89">
        <v>9</v>
      </c>
      <c r="J8" s="89">
        <v>10</v>
      </c>
      <c r="K8" s="89">
        <v>11</v>
      </c>
      <c r="L8" s="89">
        <v>12</v>
      </c>
      <c r="M8" s="89">
        <v>13</v>
      </c>
      <c r="N8" s="89">
        <v>14</v>
      </c>
      <c r="O8" s="89">
        <v>15</v>
      </c>
    </row>
    <row r="9" spans="1:15" s="86" customFormat="1" ht="18" customHeight="1">
      <c r="A9" s="91"/>
      <c r="B9" s="91" t="s">
        <v>102</v>
      </c>
      <c r="C9" s="89"/>
      <c r="D9" s="95">
        <f>SUM(E9:H9)</f>
        <v>175955428</v>
      </c>
      <c r="E9" s="95">
        <f>SUM(E10:E30)</f>
        <v>92709941</v>
      </c>
      <c r="F9" s="95">
        <f>SUM(F10:F30)</f>
        <v>9814007</v>
      </c>
      <c r="G9" s="95">
        <f>SUM(G10:G30)</f>
        <v>71911924</v>
      </c>
      <c r="H9" s="95">
        <f>SUM(H10:H30)</f>
        <v>1519556</v>
      </c>
      <c r="I9" s="95">
        <f>SUM(I10:I30)</f>
        <v>33123016</v>
      </c>
      <c r="J9" s="95">
        <f>D9+I9</f>
        <v>209078444</v>
      </c>
      <c r="K9" s="98">
        <f>D9/J9*100</f>
        <v>84.15761311099101</v>
      </c>
      <c r="L9" s="98">
        <f>E9/J9*100</f>
        <v>44.3421804880086</v>
      </c>
      <c r="M9" s="98">
        <f>F9/J9*100</f>
        <v>4.6939353537565065</v>
      </c>
      <c r="N9" s="98">
        <f>G9/J9*100</f>
        <v>34.39470976740194</v>
      </c>
      <c r="O9" s="98">
        <f>I9/J9*100</f>
        <v>15.842386889008989</v>
      </c>
    </row>
    <row r="10" spans="1:15" ht="18" customHeight="1">
      <c r="A10" s="88" t="s">
        <v>27</v>
      </c>
      <c r="B10" s="88" t="s">
        <v>8</v>
      </c>
      <c r="C10" s="93" t="s">
        <v>103</v>
      </c>
      <c r="D10" s="96">
        <f aca="true" t="shared" si="0" ref="D10:D30">SUM(E10:H10)</f>
        <v>33130</v>
      </c>
      <c r="E10" s="97">
        <f>15984</f>
        <v>15984</v>
      </c>
      <c r="F10" s="97"/>
      <c r="G10" s="97">
        <f>15075+2071</f>
        <v>17146</v>
      </c>
      <c r="H10" s="97"/>
      <c r="I10" s="97"/>
      <c r="J10" s="96">
        <f aca="true" t="shared" si="1" ref="J10:J30">D10+I10</f>
        <v>33130</v>
      </c>
      <c r="K10" s="99">
        <f aca="true" t="shared" si="2" ref="K10:K30">D10/J10*100</f>
        <v>100</v>
      </c>
      <c r="L10" s="99">
        <f aca="true" t="shared" si="3" ref="L10:L30">E10/J10*100</f>
        <v>48.24630244491397</v>
      </c>
      <c r="M10" s="99">
        <f aca="true" t="shared" si="4" ref="M10:M30">F10/J10*100</f>
        <v>0</v>
      </c>
      <c r="N10" s="99">
        <f aca="true" t="shared" si="5" ref="N10:N30">G10/J10*100</f>
        <v>51.75369755508602</v>
      </c>
      <c r="O10" s="99">
        <f>I10/J10*100</f>
        <v>0</v>
      </c>
    </row>
    <row r="11" spans="1:15" ht="18" customHeight="1">
      <c r="A11" s="88" t="s">
        <v>28</v>
      </c>
      <c r="B11" s="88" t="s">
        <v>9</v>
      </c>
      <c r="C11" s="93" t="s">
        <v>104</v>
      </c>
      <c r="D11" s="96">
        <f t="shared" si="0"/>
        <v>419</v>
      </c>
      <c r="E11" s="97"/>
      <c r="F11" s="97"/>
      <c r="G11" s="97">
        <v>419</v>
      </c>
      <c r="H11" s="97"/>
      <c r="I11" s="97"/>
      <c r="J11" s="96">
        <f t="shared" si="1"/>
        <v>419</v>
      </c>
      <c r="K11" s="99">
        <f t="shared" si="2"/>
        <v>100</v>
      </c>
      <c r="L11" s="99">
        <f t="shared" si="3"/>
        <v>0</v>
      </c>
      <c r="M11" s="99">
        <f t="shared" si="4"/>
        <v>0</v>
      </c>
      <c r="N11" s="99">
        <f t="shared" si="5"/>
        <v>100</v>
      </c>
      <c r="O11" s="99">
        <f aca="true" t="shared" si="6" ref="O11:O30">I11/J11*100</f>
        <v>0</v>
      </c>
    </row>
    <row r="12" spans="1:15" ht="18" customHeight="1">
      <c r="A12" s="88" t="s">
        <v>29</v>
      </c>
      <c r="B12" s="88" t="s">
        <v>106</v>
      </c>
      <c r="C12" s="94">
        <v>600</v>
      </c>
      <c r="D12" s="96">
        <f t="shared" si="0"/>
        <v>11948176</v>
      </c>
      <c r="E12" s="97">
        <f>1074516+700279</f>
        <v>1774795</v>
      </c>
      <c r="F12" s="97"/>
      <c r="G12" s="97">
        <f>6181778+3991603</f>
        <v>10173381</v>
      </c>
      <c r="H12" s="97"/>
      <c r="I12" s="97">
        <f>16904071+2654480</f>
        <v>19558551</v>
      </c>
      <c r="J12" s="96">
        <f t="shared" si="1"/>
        <v>31506727</v>
      </c>
      <c r="K12" s="99">
        <f t="shared" si="2"/>
        <v>37.922618874375615</v>
      </c>
      <c r="L12" s="99">
        <f t="shared" si="3"/>
        <v>5.633066868545248</v>
      </c>
      <c r="M12" s="99">
        <f t="shared" si="4"/>
        <v>0</v>
      </c>
      <c r="N12" s="99">
        <f t="shared" si="5"/>
        <v>32.28955200583037</v>
      </c>
      <c r="O12" s="99">
        <f t="shared" si="6"/>
        <v>62.07738112562438</v>
      </c>
    </row>
    <row r="13" spans="1:15" ht="18" customHeight="1">
      <c r="A13" s="88" t="s">
        <v>30</v>
      </c>
      <c r="B13" s="88" t="s">
        <v>107</v>
      </c>
      <c r="C13" s="94">
        <v>630</v>
      </c>
      <c r="D13" s="96">
        <f t="shared" si="0"/>
        <v>21000</v>
      </c>
      <c r="E13" s="97"/>
      <c r="F13" s="97"/>
      <c r="G13" s="97">
        <v>21000</v>
      </c>
      <c r="H13" s="97"/>
      <c r="I13" s="97"/>
      <c r="J13" s="96">
        <f t="shared" si="1"/>
        <v>21000</v>
      </c>
      <c r="K13" s="99">
        <f t="shared" si="2"/>
        <v>100</v>
      </c>
      <c r="L13" s="99">
        <f t="shared" si="3"/>
        <v>0</v>
      </c>
      <c r="M13" s="99">
        <f t="shared" si="4"/>
        <v>0</v>
      </c>
      <c r="N13" s="99">
        <f t="shared" si="5"/>
        <v>100</v>
      </c>
      <c r="O13" s="99">
        <f t="shared" si="6"/>
        <v>0</v>
      </c>
    </row>
    <row r="14" spans="1:15" ht="18" customHeight="1">
      <c r="A14" s="88" t="s">
        <v>31</v>
      </c>
      <c r="B14" s="88" t="s">
        <v>108</v>
      </c>
      <c r="C14" s="94">
        <v>700</v>
      </c>
      <c r="D14" s="96">
        <f t="shared" si="0"/>
        <v>3939497</v>
      </c>
      <c r="E14" s="97"/>
      <c r="F14" s="97"/>
      <c r="G14" s="97">
        <f>3790236+149261</f>
        <v>3939497</v>
      </c>
      <c r="H14" s="97"/>
      <c r="I14" s="97">
        <v>6022472</v>
      </c>
      <c r="J14" s="96">
        <f t="shared" si="1"/>
        <v>9961969</v>
      </c>
      <c r="K14" s="99">
        <f t="shared" si="2"/>
        <v>39.54536497754611</v>
      </c>
      <c r="L14" s="99">
        <f t="shared" si="3"/>
        <v>0</v>
      </c>
      <c r="M14" s="99">
        <f t="shared" si="4"/>
        <v>0</v>
      </c>
      <c r="N14" s="99">
        <f t="shared" si="5"/>
        <v>39.54536497754611</v>
      </c>
      <c r="O14" s="99">
        <f t="shared" si="6"/>
        <v>60.45463502245389</v>
      </c>
    </row>
    <row r="15" spans="1:15" ht="18" customHeight="1">
      <c r="A15" s="88" t="s">
        <v>32</v>
      </c>
      <c r="B15" s="88" t="s">
        <v>109</v>
      </c>
      <c r="C15" s="94">
        <v>710</v>
      </c>
      <c r="D15" s="96">
        <f t="shared" si="0"/>
        <v>1403818</v>
      </c>
      <c r="E15" s="97">
        <f>774551+181314</f>
        <v>955865</v>
      </c>
      <c r="F15" s="97"/>
      <c r="G15" s="97">
        <f>361899+86054</f>
        <v>447953</v>
      </c>
      <c r="H15" s="97"/>
      <c r="I15" s="97">
        <f>29196+27000</f>
        <v>56196</v>
      </c>
      <c r="J15" s="96">
        <f t="shared" si="1"/>
        <v>1460014</v>
      </c>
      <c r="K15" s="99">
        <f t="shared" si="2"/>
        <v>96.15099581236892</v>
      </c>
      <c r="L15" s="99">
        <f t="shared" si="3"/>
        <v>65.46957768898106</v>
      </c>
      <c r="M15" s="99">
        <f t="shared" si="4"/>
        <v>0</v>
      </c>
      <c r="N15" s="99">
        <f t="shared" si="5"/>
        <v>30.68141812338786</v>
      </c>
      <c r="O15" s="99">
        <f t="shared" si="6"/>
        <v>3.8490041876310777</v>
      </c>
    </row>
    <row r="16" spans="1:15" ht="18" customHeight="1">
      <c r="A16" s="88" t="s">
        <v>33</v>
      </c>
      <c r="B16" s="88" t="s">
        <v>110</v>
      </c>
      <c r="C16" s="94">
        <v>750</v>
      </c>
      <c r="D16" s="96">
        <f t="shared" si="0"/>
        <v>16408702</v>
      </c>
      <c r="E16" s="97">
        <f>11486819+622916</f>
        <v>12109735</v>
      </c>
      <c r="F16" s="97"/>
      <c r="G16" s="97">
        <f>3525030+773937</f>
        <v>4298967</v>
      </c>
      <c r="H16" s="97"/>
      <c r="I16" s="97">
        <v>710073</v>
      </c>
      <c r="J16" s="96">
        <f t="shared" si="1"/>
        <v>17118775</v>
      </c>
      <c r="K16" s="99">
        <f t="shared" si="2"/>
        <v>95.8520805373048</v>
      </c>
      <c r="L16" s="99">
        <f t="shared" si="3"/>
        <v>70.73949508653511</v>
      </c>
      <c r="M16" s="99">
        <f t="shared" si="4"/>
        <v>0</v>
      </c>
      <c r="N16" s="99">
        <f t="shared" si="5"/>
        <v>25.112585450769696</v>
      </c>
      <c r="O16" s="99">
        <f t="shared" si="6"/>
        <v>4.1479194626951985</v>
      </c>
    </row>
    <row r="17" spans="1:15" ht="18" customHeight="1">
      <c r="A17" s="88" t="s">
        <v>34</v>
      </c>
      <c r="B17" s="88" t="s">
        <v>111</v>
      </c>
      <c r="C17" s="94">
        <v>751</v>
      </c>
      <c r="D17" s="96">
        <f t="shared" si="0"/>
        <v>307205</v>
      </c>
      <c r="E17" s="97">
        <v>79692</v>
      </c>
      <c r="F17" s="97"/>
      <c r="G17" s="97">
        <v>227513</v>
      </c>
      <c r="H17" s="97"/>
      <c r="I17" s="97"/>
      <c r="J17" s="96">
        <f t="shared" si="1"/>
        <v>307205</v>
      </c>
      <c r="K17" s="99">
        <f t="shared" si="2"/>
        <v>100</v>
      </c>
      <c r="L17" s="99">
        <f t="shared" si="3"/>
        <v>25.940984033463</v>
      </c>
      <c r="M17" s="99">
        <f t="shared" si="4"/>
        <v>0</v>
      </c>
      <c r="N17" s="99">
        <f t="shared" si="5"/>
        <v>74.059015966537</v>
      </c>
      <c r="O17" s="99">
        <f t="shared" si="6"/>
        <v>0</v>
      </c>
    </row>
    <row r="18" spans="1:15" ht="18" customHeight="1">
      <c r="A18" s="88" t="s">
        <v>35</v>
      </c>
      <c r="B18" s="88" t="s">
        <v>112</v>
      </c>
      <c r="C18" s="94">
        <v>754</v>
      </c>
      <c r="D18" s="96">
        <f t="shared" si="0"/>
        <v>6998028</v>
      </c>
      <c r="E18" s="97">
        <f>1280054+3948418</f>
        <v>5228472</v>
      </c>
      <c r="F18" s="97">
        <v>61601</v>
      </c>
      <c r="G18" s="97">
        <f>484997+1222958</f>
        <v>1707955</v>
      </c>
      <c r="H18" s="97"/>
      <c r="I18" s="97">
        <f>51661+197987</f>
        <v>249648</v>
      </c>
      <c r="J18" s="96">
        <f t="shared" si="1"/>
        <v>7247676</v>
      </c>
      <c r="K18" s="99">
        <f t="shared" si="2"/>
        <v>96.55547516196916</v>
      </c>
      <c r="L18" s="99">
        <f t="shared" si="3"/>
        <v>72.13997976730748</v>
      </c>
      <c r="M18" s="99">
        <f t="shared" si="4"/>
        <v>0.8499414157034613</v>
      </c>
      <c r="N18" s="99">
        <f t="shared" si="5"/>
        <v>23.56555397895822</v>
      </c>
      <c r="O18" s="99">
        <f t="shared" si="6"/>
        <v>3.4445248380308393</v>
      </c>
    </row>
    <row r="19" spans="1:15" ht="18" customHeight="1">
      <c r="A19" s="88" t="s">
        <v>36</v>
      </c>
      <c r="B19" s="88" t="s">
        <v>78</v>
      </c>
      <c r="C19" s="94">
        <v>756</v>
      </c>
      <c r="D19" s="96">
        <f t="shared" si="0"/>
        <v>70915</v>
      </c>
      <c r="E19" s="97">
        <v>592</v>
      </c>
      <c r="F19" s="97"/>
      <c r="G19" s="97">
        <v>70323</v>
      </c>
      <c r="H19" s="97"/>
      <c r="I19" s="97"/>
      <c r="J19" s="96">
        <f t="shared" si="1"/>
        <v>70915</v>
      </c>
      <c r="K19" s="99">
        <f t="shared" si="2"/>
        <v>100</v>
      </c>
      <c r="L19" s="99">
        <f t="shared" si="3"/>
        <v>0.8348022280194598</v>
      </c>
      <c r="M19" s="99">
        <f t="shared" si="4"/>
        <v>0</v>
      </c>
      <c r="N19" s="99">
        <f t="shared" si="5"/>
        <v>99.16519777198054</v>
      </c>
      <c r="O19" s="99">
        <f t="shared" si="6"/>
        <v>0</v>
      </c>
    </row>
    <row r="20" spans="1:15" ht="18" customHeight="1">
      <c r="A20" s="88" t="s">
        <v>37</v>
      </c>
      <c r="B20" s="88" t="s">
        <v>12</v>
      </c>
      <c r="C20" s="94">
        <v>757</v>
      </c>
      <c r="D20" s="96">
        <f t="shared" si="0"/>
        <v>1640918</v>
      </c>
      <c r="E20" s="97"/>
      <c r="F20" s="97"/>
      <c r="G20" s="97">
        <v>121362</v>
      </c>
      <c r="H20" s="97">
        <v>1519556</v>
      </c>
      <c r="I20" s="97"/>
      <c r="J20" s="96">
        <f t="shared" si="1"/>
        <v>1640918</v>
      </c>
      <c r="K20" s="99">
        <f t="shared" si="2"/>
        <v>100</v>
      </c>
      <c r="L20" s="99">
        <f t="shared" si="3"/>
        <v>0</v>
      </c>
      <c r="M20" s="99">
        <f t="shared" si="4"/>
        <v>0</v>
      </c>
      <c r="N20" s="99">
        <f t="shared" si="5"/>
        <v>7.395982005194653</v>
      </c>
      <c r="O20" s="99">
        <f t="shared" si="6"/>
        <v>0</v>
      </c>
    </row>
    <row r="21" spans="1:15" ht="18" customHeight="1">
      <c r="A21" s="88" t="s">
        <v>38</v>
      </c>
      <c r="B21" s="88" t="s">
        <v>13</v>
      </c>
      <c r="C21" s="94">
        <v>758</v>
      </c>
      <c r="D21" s="96">
        <f t="shared" si="0"/>
        <v>25945</v>
      </c>
      <c r="E21" s="97">
        <v>14524</v>
      </c>
      <c r="F21" s="97"/>
      <c r="G21" s="97">
        <v>11421</v>
      </c>
      <c r="H21" s="97"/>
      <c r="I21" s="97"/>
      <c r="J21" s="96">
        <f t="shared" si="1"/>
        <v>25945</v>
      </c>
      <c r="K21" s="99">
        <f t="shared" si="2"/>
        <v>100</v>
      </c>
      <c r="L21" s="99">
        <f t="shared" si="3"/>
        <v>55.979957602620935</v>
      </c>
      <c r="M21" s="99">
        <f t="shared" si="4"/>
        <v>0</v>
      </c>
      <c r="N21" s="99">
        <f t="shared" si="5"/>
        <v>44.02004239737907</v>
      </c>
      <c r="O21" s="99">
        <f t="shared" si="6"/>
        <v>0</v>
      </c>
    </row>
    <row r="22" spans="1:15" ht="18" customHeight="1">
      <c r="A22" s="88" t="s">
        <v>39</v>
      </c>
      <c r="B22" s="88" t="s">
        <v>113</v>
      </c>
      <c r="C22" s="94">
        <v>801</v>
      </c>
      <c r="D22" s="96">
        <f t="shared" si="0"/>
        <v>71234313</v>
      </c>
      <c r="E22" s="97">
        <f>32412837+23283636</f>
        <v>55696473</v>
      </c>
      <c r="F22" s="97">
        <f>875612+3545615</f>
        <v>4421227</v>
      </c>
      <c r="G22" s="97">
        <f>7113187+4003426</f>
        <v>11116613</v>
      </c>
      <c r="H22" s="97"/>
      <c r="I22" s="97">
        <f>997224+478502</f>
        <v>1475726</v>
      </c>
      <c r="J22" s="96">
        <f t="shared" si="1"/>
        <v>72710039</v>
      </c>
      <c r="K22" s="99">
        <f t="shared" si="2"/>
        <v>97.97039580737949</v>
      </c>
      <c r="L22" s="99">
        <f t="shared" si="3"/>
        <v>76.60080198829216</v>
      </c>
      <c r="M22" s="99">
        <f t="shared" si="4"/>
        <v>6.080628013416415</v>
      </c>
      <c r="N22" s="99">
        <f t="shared" si="5"/>
        <v>15.288965805670934</v>
      </c>
      <c r="O22" s="99">
        <f t="shared" si="6"/>
        <v>2.029604192620499</v>
      </c>
    </row>
    <row r="23" spans="1:15" ht="18" customHeight="1">
      <c r="A23" s="88" t="s">
        <v>40</v>
      </c>
      <c r="B23" s="88" t="s">
        <v>80</v>
      </c>
      <c r="C23" s="94">
        <v>803</v>
      </c>
      <c r="D23" s="96">
        <f t="shared" si="0"/>
        <v>150816</v>
      </c>
      <c r="E23" s="97"/>
      <c r="F23" s="97"/>
      <c r="G23" s="97">
        <v>150816</v>
      </c>
      <c r="H23" s="97"/>
      <c r="I23" s="97"/>
      <c r="J23" s="96">
        <f t="shared" si="1"/>
        <v>150816</v>
      </c>
      <c r="K23" s="99">
        <f t="shared" si="2"/>
        <v>100</v>
      </c>
      <c r="L23" s="99">
        <f t="shared" si="3"/>
        <v>0</v>
      </c>
      <c r="M23" s="99">
        <f t="shared" si="4"/>
        <v>0</v>
      </c>
      <c r="N23" s="99">
        <f t="shared" si="5"/>
        <v>100</v>
      </c>
      <c r="O23" s="99">
        <f t="shared" si="6"/>
        <v>0</v>
      </c>
    </row>
    <row r="24" spans="1:15" ht="18" customHeight="1">
      <c r="A24" s="88" t="s">
        <v>41</v>
      </c>
      <c r="B24" s="88" t="s">
        <v>114</v>
      </c>
      <c r="C24" s="94">
        <v>851</v>
      </c>
      <c r="D24" s="96">
        <f t="shared" si="0"/>
        <v>998185</v>
      </c>
      <c r="E24" s="97">
        <v>258620</v>
      </c>
      <c r="F24" s="97">
        <f>383000+10000</f>
        <v>393000</v>
      </c>
      <c r="G24" s="97">
        <f>319225+27340</f>
        <v>346565</v>
      </c>
      <c r="H24" s="97"/>
      <c r="I24" s="97">
        <v>340000</v>
      </c>
      <c r="J24" s="96">
        <f t="shared" si="1"/>
        <v>1338185</v>
      </c>
      <c r="K24" s="99">
        <f t="shared" si="2"/>
        <v>74.59245171631726</v>
      </c>
      <c r="L24" s="99">
        <f t="shared" si="3"/>
        <v>19.326176873900096</v>
      </c>
      <c r="M24" s="99">
        <f t="shared" si="4"/>
        <v>29.368136692609763</v>
      </c>
      <c r="N24" s="99">
        <f t="shared" si="5"/>
        <v>25.898138149807387</v>
      </c>
      <c r="O24" s="99">
        <f t="shared" si="6"/>
        <v>25.40754828368275</v>
      </c>
    </row>
    <row r="25" spans="1:15" ht="18" customHeight="1">
      <c r="A25" s="88" t="s">
        <v>42</v>
      </c>
      <c r="B25" s="88" t="s">
        <v>115</v>
      </c>
      <c r="C25" s="94">
        <v>852</v>
      </c>
      <c r="D25" s="96">
        <f t="shared" si="0"/>
        <v>36838265</v>
      </c>
      <c r="E25" s="97">
        <f>4059826+3894787</f>
        <v>7954613</v>
      </c>
      <c r="F25" s="97">
        <f>62400+715774</f>
        <v>778174</v>
      </c>
      <c r="G25" s="97">
        <f>24227684+3877794</f>
        <v>28105478</v>
      </c>
      <c r="H25" s="97"/>
      <c r="I25" s="97">
        <f>98117+260183</f>
        <v>358300</v>
      </c>
      <c r="J25" s="96">
        <f t="shared" si="1"/>
        <v>37196565</v>
      </c>
      <c r="K25" s="99">
        <f t="shared" si="2"/>
        <v>99.03673901071241</v>
      </c>
      <c r="L25" s="99">
        <f t="shared" si="3"/>
        <v>21.38534297454617</v>
      </c>
      <c r="M25" s="99">
        <f t="shared" si="4"/>
        <v>2.0920587694051855</v>
      </c>
      <c r="N25" s="99">
        <f t="shared" si="5"/>
        <v>75.55933726676106</v>
      </c>
      <c r="O25" s="99">
        <f t="shared" si="6"/>
        <v>0.9632609892875861</v>
      </c>
    </row>
    <row r="26" spans="1:15" ht="18" customHeight="1">
      <c r="A26" s="88" t="s">
        <v>43</v>
      </c>
      <c r="B26" s="88" t="s">
        <v>20</v>
      </c>
      <c r="C26" s="94">
        <v>853</v>
      </c>
      <c r="D26" s="96">
        <f t="shared" si="0"/>
        <v>886306</v>
      </c>
      <c r="E26" s="97">
        <f>489228+133181</f>
        <v>622409</v>
      </c>
      <c r="F26" s="97">
        <f>14000+10000</f>
        <v>24000</v>
      </c>
      <c r="G26" s="97">
        <f>198262+41635</f>
        <v>239897</v>
      </c>
      <c r="H26" s="97"/>
      <c r="I26" s="97">
        <f>4707</f>
        <v>4707</v>
      </c>
      <c r="J26" s="96">
        <f t="shared" si="1"/>
        <v>891013</v>
      </c>
      <c r="K26" s="99">
        <f t="shared" si="2"/>
        <v>99.47172487943497</v>
      </c>
      <c r="L26" s="99">
        <f t="shared" si="3"/>
        <v>69.85408742633385</v>
      </c>
      <c r="M26" s="99">
        <f t="shared" si="4"/>
        <v>2.693563393575627</v>
      </c>
      <c r="N26" s="99">
        <f t="shared" si="5"/>
        <v>26.924074059525505</v>
      </c>
      <c r="O26" s="99">
        <f t="shared" si="6"/>
        <v>0.5282751205650198</v>
      </c>
    </row>
    <row r="27" spans="1:15" ht="18" customHeight="1">
      <c r="A27" s="88" t="s">
        <v>44</v>
      </c>
      <c r="B27" s="88" t="s">
        <v>116</v>
      </c>
      <c r="C27" s="94">
        <v>854</v>
      </c>
      <c r="D27" s="96">
        <f t="shared" si="0"/>
        <v>8508470</v>
      </c>
      <c r="E27" s="97">
        <f>1977778+3771791</f>
        <v>5749569</v>
      </c>
      <c r="F27" s="97"/>
      <c r="G27" s="97">
        <f>1569825+1189076</f>
        <v>2758901</v>
      </c>
      <c r="H27" s="97"/>
      <c r="I27" s="97">
        <v>14190</v>
      </c>
      <c r="J27" s="96">
        <f t="shared" si="1"/>
        <v>8522660</v>
      </c>
      <c r="K27" s="99">
        <f t="shared" si="2"/>
        <v>99.8335026857812</v>
      </c>
      <c r="L27" s="99">
        <f t="shared" si="3"/>
        <v>67.46214210117498</v>
      </c>
      <c r="M27" s="99">
        <f t="shared" si="4"/>
        <v>0</v>
      </c>
      <c r="N27" s="99">
        <f t="shared" si="5"/>
        <v>32.371360584606215</v>
      </c>
      <c r="O27" s="99">
        <f t="shared" si="6"/>
        <v>0.16649731421880024</v>
      </c>
    </row>
    <row r="28" spans="1:15" ht="18" customHeight="1">
      <c r="A28" s="88" t="s">
        <v>45</v>
      </c>
      <c r="B28" s="88" t="s">
        <v>117</v>
      </c>
      <c r="C28" s="94">
        <v>900</v>
      </c>
      <c r="D28" s="96">
        <f t="shared" si="0"/>
        <v>6324809</v>
      </c>
      <c r="E28" s="97">
        <v>314761</v>
      </c>
      <c r="F28" s="97">
        <f>35000</f>
        <v>35000</v>
      </c>
      <c r="G28" s="97">
        <f>5683177+291871</f>
        <v>5975048</v>
      </c>
      <c r="H28" s="97"/>
      <c r="I28" s="97">
        <f>3545056</f>
        <v>3545056</v>
      </c>
      <c r="J28" s="96">
        <f t="shared" si="1"/>
        <v>9869865</v>
      </c>
      <c r="K28" s="99">
        <f t="shared" si="2"/>
        <v>64.08202138529757</v>
      </c>
      <c r="L28" s="99">
        <f t="shared" si="3"/>
        <v>3.1891115025382817</v>
      </c>
      <c r="M28" s="99">
        <f t="shared" si="4"/>
        <v>0.35461477943214015</v>
      </c>
      <c r="N28" s="99">
        <f t="shared" si="5"/>
        <v>60.538295103327144</v>
      </c>
      <c r="O28" s="99">
        <f t="shared" si="6"/>
        <v>35.91797861470243</v>
      </c>
    </row>
    <row r="29" spans="1:15" ht="18" customHeight="1">
      <c r="A29" s="88" t="s">
        <v>81</v>
      </c>
      <c r="B29" s="88" t="s">
        <v>118</v>
      </c>
      <c r="C29" s="94">
        <v>921</v>
      </c>
      <c r="D29" s="96">
        <f t="shared" si="0"/>
        <v>3860352</v>
      </c>
      <c r="E29" s="97">
        <v>9700</v>
      </c>
      <c r="F29" s="97">
        <f>1159904+2381101</f>
        <v>3541005</v>
      </c>
      <c r="G29" s="97">
        <f>193841+115806</f>
        <v>309647</v>
      </c>
      <c r="H29" s="97"/>
      <c r="I29" s="97">
        <f>639167</f>
        <v>639167</v>
      </c>
      <c r="J29" s="96">
        <f t="shared" si="1"/>
        <v>4499519</v>
      </c>
      <c r="K29" s="99">
        <f t="shared" si="2"/>
        <v>85.79477050769204</v>
      </c>
      <c r="L29" s="99">
        <f t="shared" si="3"/>
        <v>0.21557859851241878</v>
      </c>
      <c r="M29" s="99">
        <f t="shared" si="4"/>
        <v>78.69741187891417</v>
      </c>
      <c r="N29" s="99">
        <f t="shared" si="5"/>
        <v>6.881780030265457</v>
      </c>
      <c r="O29" s="99">
        <f t="shared" si="6"/>
        <v>14.205229492307955</v>
      </c>
    </row>
    <row r="30" spans="1:15" ht="18" customHeight="1">
      <c r="A30" s="88" t="s">
        <v>82</v>
      </c>
      <c r="B30" s="88" t="s">
        <v>119</v>
      </c>
      <c r="C30" s="94">
        <v>926</v>
      </c>
      <c r="D30" s="96">
        <f t="shared" si="0"/>
        <v>4356159</v>
      </c>
      <c r="E30" s="97">
        <f>1924137</f>
        <v>1924137</v>
      </c>
      <c r="F30" s="97">
        <v>560000</v>
      </c>
      <c r="G30" s="97">
        <v>1872022</v>
      </c>
      <c r="H30" s="97"/>
      <c r="I30" s="97">
        <v>148930</v>
      </c>
      <c r="J30" s="96">
        <f t="shared" si="1"/>
        <v>4505089</v>
      </c>
      <c r="K30" s="99">
        <f t="shared" si="2"/>
        <v>96.69418295620797</v>
      </c>
      <c r="L30" s="99">
        <f t="shared" si="3"/>
        <v>42.710299396970846</v>
      </c>
      <c r="M30" s="99">
        <f t="shared" si="4"/>
        <v>12.43038705783615</v>
      </c>
      <c r="N30" s="99">
        <f t="shared" si="5"/>
        <v>41.55349650140097</v>
      </c>
      <c r="O30" s="99">
        <f t="shared" si="6"/>
        <v>3.3058170437920316</v>
      </c>
    </row>
    <row r="32" ht="18" customHeight="1">
      <c r="E32" s="107"/>
    </row>
  </sheetData>
  <mergeCells count="14">
    <mergeCell ref="D6:D7"/>
    <mergeCell ref="E6:H6"/>
    <mergeCell ref="I6:I7"/>
    <mergeCell ref="J6:J7"/>
    <mergeCell ref="A3:O3"/>
    <mergeCell ref="K6:K7"/>
    <mergeCell ref="O6:O7"/>
    <mergeCell ref="L6:L7"/>
    <mergeCell ref="M6:M7"/>
    <mergeCell ref="N6:N7"/>
    <mergeCell ref="A5:A7"/>
    <mergeCell ref="B5:B7"/>
    <mergeCell ref="C5:C7"/>
    <mergeCell ref="D5:O5"/>
  </mergeCells>
  <printOptions/>
  <pageMargins left="0.33" right="0" top="0.5905511811023623" bottom="0" header="0" footer="0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46.75390625" style="5" customWidth="1"/>
    <col min="2" max="2" width="13.875" style="5" customWidth="1"/>
    <col min="3" max="3" width="13.25390625" style="5" customWidth="1"/>
    <col min="4" max="4" width="8.125" style="5" customWidth="1"/>
    <col min="5" max="5" width="10.125" style="5" customWidth="1"/>
    <col min="6" max="6" width="9.125" style="67" customWidth="1"/>
    <col min="7" max="7" width="13.00390625" style="60" customWidth="1"/>
    <col min="8" max="8" width="12.25390625" style="60" customWidth="1"/>
    <col min="9" max="9" width="11.875" style="60" customWidth="1"/>
    <col min="10" max="10" width="9.125" style="60" customWidth="1"/>
    <col min="11" max="16384" width="9.125" style="5" customWidth="1"/>
  </cols>
  <sheetData>
    <row r="1" spans="1:5" ht="18.75" customHeight="1">
      <c r="A1" s="110">
        <v>34</v>
      </c>
      <c r="B1" s="110"/>
      <c r="C1" s="110"/>
      <c r="D1" s="110"/>
      <c r="E1" s="110"/>
    </row>
    <row r="2" spans="1:5" ht="18.75" customHeight="1">
      <c r="A2" s="6"/>
      <c r="B2" s="7"/>
      <c r="C2" s="8"/>
      <c r="D2" s="126" t="s">
        <v>56</v>
      </c>
      <c r="E2" s="126"/>
    </row>
    <row r="3" spans="1:5" ht="54" customHeight="1">
      <c r="A3" s="108" t="s">
        <v>131</v>
      </c>
      <c r="B3" s="108"/>
      <c r="C3" s="108"/>
      <c r="D3" s="108"/>
      <c r="E3" s="108"/>
    </row>
    <row r="4" spans="1:5" ht="18.75" customHeight="1">
      <c r="A4" s="109" t="s">
        <v>6</v>
      </c>
      <c r="B4" s="109"/>
      <c r="C4" s="109"/>
      <c r="D4" s="109"/>
      <c r="E4" s="109"/>
    </row>
    <row r="5" spans="1:5" ht="35.25" customHeight="1">
      <c r="A5" s="4" t="s">
        <v>0</v>
      </c>
      <c r="B5" s="4" t="s">
        <v>134</v>
      </c>
      <c r="C5" s="68" t="s">
        <v>135</v>
      </c>
      <c r="D5" s="4" t="s">
        <v>24</v>
      </c>
      <c r="E5" s="4" t="s">
        <v>1</v>
      </c>
    </row>
    <row r="6" spans="1:5" ht="13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ht="24" customHeight="1">
      <c r="A7" s="10" t="s">
        <v>87</v>
      </c>
      <c r="B7" s="11">
        <f>SUM(B8:B13)</f>
        <v>190712779</v>
      </c>
      <c r="C7" s="11">
        <f>SUM(C8:C13)</f>
        <v>191702437</v>
      </c>
      <c r="D7" s="12">
        <f aca="true" t="shared" si="0" ref="D7:D13">C7/B7*100</f>
        <v>100.51892589746177</v>
      </c>
      <c r="E7" s="12">
        <f>SUM(E8:E13)</f>
        <v>100</v>
      </c>
    </row>
    <row r="8" spans="1:5" ht="24" customHeight="1">
      <c r="A8" s="14" t="s">
        <v>88</v>
      </c>
      <c r="B8" s="15">
        <f>27549485+6895919+9829725+488000+5008019+1367175+2090718+1000+16642+1874057</f>
        <v>55120740</v>
      </c>
      <c r="C8" s="15">
        <f>27504227+7159710+10083313+511166+4937113+1368245+2183508+753+1828940+16744</f>
        <v>55593719</v>
      </c>
      <c r="D8" s="16">
        <f t="shared" si="0"/>
        <v>100.85807810272505</v>
      </c>
      <c r="E8" s="16">
        <f>C8/C7*100</f>
        <v>29.00000640054461</v>
      </c>
    </row>
    <row r="9" spans="1:5" ht="30.75" customHeight="1">
      <c r="A9" s="17" t="s">
        <v>85</v>
      </c>
      <c r="B9" s="18">
        <f>9401810+33305071</f>
        <v>42706881</v>
      </c>
      <c r="C9" s="18">
        <f>34716012+9764563</f>
        <v>44480575</v>
      </c>
      <c r="D9" s="19">
        <f t="shared" si="0"/>
        <v>104.15318084221603</v>
      </c>
      <c r="E9" s="19">
        <f>C9/C7*100</f>
        <v>23.20292621006169</v>
      </c>
    </row>
    <row r="10" spans="1:5" ht="33" customHeight="1">
      <c r="A10" s="17" t="s">
        <v>86</v>
      </c>
      <c r="B10" s="18">
        <f>13765+463264</f>
        <v>477029</v>
      </c>
      <c r="C10" s="18">
        <f>465383+14543</f>
        <v>479926</v>
      </c>
      <c r="D10" s="19">
        <f t="shared" si="0"/>
        <v>100.60730060436578</v>
      </c>
      <c r="E10" s="19">
        <f>C10/C7*100</f>
        <v>0.25034945173910333</v>
      </c>
    </row>
    <row r="11" spans="1:5" ht="24" customHeight="1">
      <c r="A11" s="14" t="s">
        <v>91</v>
      </c>
      <c r="B11" s="15">
        <f>25101097+34731056</f>
        <v>59832153</v>
      </c>
      <c r="C11" s="15">
        <f>25101097+34731056</f>
        <v>59832153</v>
      </c>
      <c r="D11" s="16">
        <f t="shared" si="0"/>
        <v>100</v>
      </c>
      <c r="E11" s="19">
        <f>C11/C7*100</f>
        <v>31.210950646391627</v>
      </c>
    </row>
    <row r="12" spans="1:5" ht="24" customHeight="1">
      <c r="A12" s="14" t="s">
        <v>89</v>
      </c>
      <c r="B12" s="15">
        <f>22938828+9192811</f>
        <v>32131639</v>
      </c>
      <c r="C12" s="15">
        <f>9143028+21867804</f>
        <v>31010832</v>
      </c>
      <c r="D12" s="16">
        <f t="shared" si="0"/>
        <v>96.51182748567541</v>
      </c>
      <c r="E12" s="16">
        <f>C12/C7*100</f>
        <v>16.176545528213605</v>
      </c>
    </row>
    <row r="13" spans="1:5" ht="24" customHeight="1">
      <c r="A13" s="14" t="s">
        <v>90</v>
      </c>
      <c r="B13" s="15">
        <v>444337</v>
      </c>
      <c r="C13" s="15">
        <v>305232</v>
      </c>
      <c r="D13" s="16">
        <f t="shared" si="0"/>
        <v>68.69380672777645</v>
      </c>
      <c r="E13" s="16">
        <f>C13/C7*100</f>
        <v>0.15922176304936594</v>
      </c>
    </row>
    <row r="14" spans="1:5" ht="18.75" customHeight="1">
      <c r="A14" s="27"/>
      <c r="B14" s="28"/>
      <c r="C14" s="28"/>
      <c r="D14" s="28"/>
      <c r="E14" s="9"/>
    </row>
    <row r="15" spans="1:5" ht="18.75" customHeight="1">
      <c r="A15" s="27"/>
      <c r="B15" s="28"/>
      <c r="C15" s="28"/>
      <c r="D15" s="28"/>
      <c r="E15" s="9"/>
    </row>
  </sheetData>
  <mergeCells count="4">
    <mergeCell ref="A1:E1"/>
    <mergeCell ref="D2:E2"/>
    <mergeCell ref="A3:E3"/>
    <mergeCell ref="A4:E4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4-0221</cp:lastModifiedBy>
  <cp:lastPrinted>2006-03-20T12:10:49Z</cp:lastPrinted>
  <dcterms:created xsi:type="dcterms:W3CDTF">2004-03-18T09:33:03Z</dcterms:created>
  <dcterms:modified xsi:type="dcterms:W3CDTF">2006-03-31T10:37:20Z</dcterms:modified>
  <cp:category/>
  <cp:version/>
  <cp:contentType/>
  <cp:contentStatus/>
</cp:coreProperties>
</file>