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<sst xmlns="http://schemas.openxmlformats.org/spreadsheetml/2006/main" count="567" uniqueCount="170">
  <si>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</si>
  <si>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</si>
  <si>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</si>
  <si>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</si>
  <si>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</si>
  <si>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</si>
  <si>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</si>
  <si>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</si>
  <si>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</si>
  <si>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</si>
  <si>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</si>
  <si>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</si>
  <si>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</si>
  <si>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</si>
  <si>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</si>
  <si>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</si>
  <si>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WYDATKI  DOTYCZĄCE  ZADAŃ  POWIATU</t>
  </si>
  <si>
    <t>B</t>
  </si>
  <si>
    <t>Dział 758</t>
  </si>
  <si>
    <t>Rezerwy ogólne i celowe</t>
  </si>
  <si>
    <t>§ 4810</t>
  </si>
  <si>
    <t>rezerwa ogólna</t>
  </si>
  <si>
    <t>Dział 852</t>
  </si>
  <si>
    <t>Pomoc społeczna</t>
  </si>
  <si>
    <t>Różne rozliczenia</t>
  </si>
  <si>
    <t>Dział 700</t>
  </si>
  <si>
    <t>Gospodarka gruntami i nieruchomościami</t>
  </si>
  <si>
    <t>§ 4590</t>
  </si>
  <si>
    <t>Gospodarka mieszkaniowa</t>
  </si>
  <si>
    <t>Dział 754</t>
  </si>
  <si>
    <t>Bezpieczeństwo publiczne</t>
  </si>
  <si>
    <t>Pozostała działalność</t>
  </si>
  <si>
    <t>§ 2830</t>
  </si>
  <si>
    <t>§ 4210</t>
  </si>
  <si>
    <t>materiały i wyposażenie</t>
  </si>
  <si>
    <t>Dział 921</t>
  </si>
  <si>
    <t>Kultura i ochrona dziec.narodowego</t>
  </si>
  <si>
    <t>Dział 851</t>
  </si>
  <si>
    <t>Ochrona zdrowia</t>
  </si>
  <si>
    <t>Przeciwdziałanie alkoholizmowi</t>
  </si>
  <si>
    <t>§ 4110</t>
  </si>
  <si>
    <t>składki na ubezpieczenia społ.</t>
  </si>
  <si>
    <t>§ 4120</t>
  </si>
  <si>
    <t>składki na FP</t>
  </si>
  <si>
    <t>§ 4170</t>
  </si>
  <si>
    <t>wynagrodzenia bezosobowe</t>
  </si>
  <si>
    <t>§ 4240</t>
  </si>
  <si>
    <t>§ 4300</t>
  </si>
  <si>
    <t>pozostałe usługi</t>
  </si>
  <si>
    <t>§ 2820</t>
  </si>
  <si>
    <t>§ 4220</t>
  </si>
  <si>
    <t>zakup żywności</t>
  </si>
  <si>
    <t>§ 4440</t>
  </si>
  <si>
    <t>§ 4040</t>
  </si>
  <si>
    <t>składki na ubezpieczenia społeczne</t>
  </si>
  <si>
    <t>§ 4270</t>
  </si>
  <si>
    <t>usługi remontowe</t>
  </si>
  <si>
    <t>Placówki opiekuńczo-wychowawcze</t>
  </si>
  <si>
    <t>§ 6050</t>
  </si>
  <si>
    <t>wydatki inwestycyjne</t>
  </si>
  <si>
    <t>Dział 900</t>
  </si>
  <si>
    <t>Gospodarka komunalna</t>
  </si>
  <si>
    <t>Dział 801</t>
  </si>
  <si>
    <t>Oświata i wychowanie</t>
  </si>
  <si>
    <t>Szkoły podstawowe</t>
  </si>
  <si>
    <t>Domy pomocy społecznej</t>
  </si>
  <si>
    <t>§ 4350</t>
  </si>
  <si>
    <t>Dział 750</t>
  </si>
  <si>
    <t>§ 4010</t>
  </si>
  <si>
    <t xml:space="preserve">wynagrodzenie </t>
  </si>
  <si>
    <t>dodatkowe wynagrodzenie roczne</t>
  </si>
  <si>
    <t>pomoce naukowe i dydaktyczne</t>
  </si>
  <si>
    <t>§ 4260</t>
  </si>
  <si>
    <t>energia</t>
  </si>
  <si>
    <t>Przedszkola</t>
  </si>
  <si>
    <t>Gimnazja</t>
  </si>
  <si>
    <t>odpis na ZFŚS</t>
  </si>
  <si>
    <t>Dokształcanie i doskonalenie nauczycieli</t>
  </si>
  <si>
    <t>§ 4410</t>
  </si>
  <si>
    <t>podróże służbowe krajowe</t>
  </si>
  <si>
    <t>Dział 854</t>
  </si>
  <si>
    <t>Edukacyjna opieka wychowawcza</t>
  </si>
  <si>
    <t>Świetlice szkolne</t>
  </si>
  <si>
    <t>wynagrodzenie</t>
  </si>
  <si>
    <t>MZEA</t>
  </si>
  <si>
    <t>Oddziały przedszkolne przy szkołach podst.</t>
  </si>
  <si>
    <t xml:space="preserve">Oświata i wychowanie </t>
  </si>
  <si>
    <t>Szkoły zawodowe</t>
  </si>
  <si>
    <t>dodatkowe wynagrodzenia roczne</t>
  </si>
  <si>
    <t>§ 6800</t>
  </si>
  <si>
    <t>Dział 600</t>
  </si>
  <si>
    <t>Transport i łączność</t>
  </si>
  <si>
    <t>§ 6010</t>
  </si>
  <si>
    <t>wniesienie wkładu</t>
  </si>
  <si>
    <t>Edukacyjna opieka społeczna</t>
  </si>
  <si>
    <t>Bursa szkolna</t>
  </si>
  <si>
    <t>Drogi publiczne gminne</t>
  </si>
  <si>
    <t>Pozostałe zadania w zakresie kultury</t>
  </si>
  <si>
    <t>Poradnia</t>
  </si>
  <si>
    <t>Załącznik nr 3</t>
  </si>
  <si>
    <t>WYDATKI OGÓŁEM   dotyczące zadań gminy i powiatu</t>
  </si>
  <si>
    <t>Rady Miasta w Piotrkowie Tryb.</t>
  </si>
  <si>
    <t>Dział 853</t>
  </si>
  <si>
    <t>Pozost.zad.w zakresie pomocy społecz.</t>
  </si>
  <si>
    <t>dotacja dla stowarzyszeń</t>
  </si>
  <si>
    <t>Dział 710</t>
  </si>
  <si>
    <t>Działalność usługowa</t>
  </si>
  <si>
    <t>§ 4430</t>
  </si>
  <si>
    <t>różne opłaty i składki</t>
  </si>
  <si>
    <t>Dział 010</t>
  </si>
  <si>
    <t xml:space="preserve">Rolnictwo </t>
  </si>
  <si>
    <t>01095</t>
  </si>
  <si>
    <t>Ochotnicze straże pożarne</t>
  </si>
  <si>
    <t>§ 6060</t>
  </si>
  <si>
    <t>zakupy inwestycyjne</t>
  </si>
  <si>
    <t>Administracja  publiczna</t>
  </si>
  <si>
    <t>Urząd Miasta</t>
  </si>
  <si>
    <t>§ 6058</t>
  </si>
  <si>
    <t>wydatki inwestycyjne współ.budżetem UE</t>
  </si>
  <si>
    <t>Obrona cywilna</t>
  </si>
  <si>
    <t>Usługi opiekuńcze</t>
  </si>
  <si>
    <t>§ 4230</t>
  </si>
  <si>
    <t>usługi dostępu do sieci internet</t>
  </si>
  <si>
    <t>rózne opłaty i składki</t>
  </si>
  <si>
    <t>zakup leków</t>
  </si>
  <si>
    <t>§ 3020</t>
  </si>
  <si>
    <t>wydatki osobowe niezaliczane do wynagr.</t>
  </si>
  <si>
    <t>wynagrodzenie bezosobowe</t>
  </si>
  <si>
    <t xml:space="preserve">wynagrodzenia </t>
  </si>
  <si>
    <t>rózne składki i opłaty</t>
  </si>
  <si>
    <t>Kolonie i obozy</t>
  </si>
  <si>
    <t>Gospodarka ściekowa i ochrona wód</t>
  </si>
  <si>
    <t xml:space="preserve">Oświetlenie ulic </t>
  </si>
  <si>
    <t>Schroniska dla zwierząt</t>
  </si>
  <si>
    <t>wydatki inwestycyjne fins.z UE</t>
  </si>
  <si>
    <t>§ 6059</t>
  </si>
  <si>
    <t>wydatki inwestycyjne fins.z budż.pań</t>
  </si>
  <si>
    <t>Drogi publiczne</t>
  </si>
  <si>
    <t>Komenda powiatowa Policji</t>
  </si>
  <si>
    <t>zakupy inwestycjne</t>
  </si>
  <si>
    <t>Zakłady gospodarki mieszkaniowej</t>
  </si>
  <si>
    <t>§ 3040</t>
  </si>
  <si>
    <t>nagrody o charakterze szczególnym</t>
  </si>
  <si>
    <t>Ośrodek adopcyjno-opiekuńczy</t>
  </si>
  <si>
    <t>dodatkow wynagrodzenie</t>
  </si>
  <si>
    <t>dotacje dla pozostałych podmiotów</t>
  </si>
  <si>
    <t>Dział 926</t>
  </si>
  <si>
    <t>Kultura fizyczna i sport</t>
  </si>
  <si>
    <t>Cmentarze</t>
  </si>
  <si>
    <t>Straż Miejska</t>
  </si>
  <si>
    <t>wydatki osobow.niezaliczane do wynagrodzeń</t>
  </si>
  <si>
    <t>Lokalny transport zbiorowy</t>
  </si>
  <si>
    <t>§ 6300</t>
  </si>
  <si>
    <t>Szpitale</t>
  </si>
  <si>
    <t>pomoc finansowa na dofin.zadań inwestyc.</t>
  </si>
  <si>
    <t>Programy profilaktyki zdrowotnej</t>
  </si>
  <si>
    <t>różne składki i opłaty</t>
  </si>
  <si>
    <t>§ 4600</t>
  </si>
  <si>
    <t>Instytucje kultury fizycznej</t>
  </si>
  <si>
    <t>§ 4480</t>
  </si>
  <si>
    <t>podatek od nieruchomości</t>
  </si>
  <si>
    <t>odszkodowowania na rzecz os.fizycznych</t>
  </si>
  <si>
    <t>odszkodowowania na rzecz  os.fizycznych</t>
  </si>
  <si>
    <t>odszkodowowania na rzecz os.prawnych</t>
  </si>
  <si>
    <t>majątkowe</t>
  </si>
  <si>
    <t xml:space="preserve">Domy kultury </t>
  </si>
  <si>
    <t>rezerwa inwestycyjna</t>
  </si>
  <si>
    <t>Licea ogólnokształcące</t>
  </si>
  <si>
    <t>do Uchwały Nr XLII/722/05</t>
  </si>
  <si>
    <t>z dnia  9 listopada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</si>
</sst>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4" xfId="0" applyNumberForma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3" fontId="0" fillId="2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6"/>
  <sheetViews>
    <sheetView tabSelected="1" zoomScale="120" zoomScaleNormal="120" workbookViewId="0" topLeftCell="A1">
      <selection activeCell="A316" sqref="A316:IV322"/>
    </sheetView>
  </sheetViews>
  <sheetFormatPr defaultColWidth="9.00390625" defaultRowHeight="12.75"/>
  <cols>
    <col min="1" max="1" width="11.625" style="0" customWidth="1"/>
    <col min="2" max="2" width="37.00390625" style="0" customWidth="1"/>
    <col min="3" max="3" width="11.75390625" style="0" customWidth="1"/>
    <col min="4" max="4" width="10.625" style="0" customWidth="1"/>
    <col min="5" max="5" width="11.625" style="0" customWidth="1"/>
    <col min="6" max="6" width="10.125" style="0" bestFit="1" customWidth="1"/>
    <col min="7" max="7" width="10.125" style="0" customWidth="1"/>
    <col min="8" max="8" width="10.25390625" style="0" customWidth="1"/>
    <col min="9" max="9" width="11.75390625" style="0" customWidth="1"/>
    <col min="10" max="10" width="10.625" style="0" customWidth="1"/>
    <col min="11" max="11" width="11.375" style="0" customWidth="1"/>
  </cols>
  <sheetData>
    <row r="1" spans="9:11" ht="15" customHeight="1">
      <c r="I1" s="90" t="s">
        <v>99</v>
      </c>
      <c r="J1" s="90"/>
      <c r="K1" s="90"/>
    </row>
    <row r="2" spans="9:11" ht="15" customHeight="1">
      <c r="I2" s="90" t="s">
        <v>168</v>
      </c>
      <c r="J2" s="90"/>
      <c r="K2" s="90"/>
    </row>
    <row r="3" spans="9:11" ht="15" customHeight="1">
      <c r="I3" s="90" t="s">
        <v>101</v>
      </c>
      <c r="J3" s="90"/>
      <c r="K3" s="90"/>
    </row>
    <row r="4" spans="9:11" ht="15" customHeight="1">
      <c r="I4" s="90" t="s">
        <v>169</v>
      </c>
      <c r="J4" s="90"/>
      <c r="K4" s="90"/>
    </row>
    <row r="5" spans="9:11" ht="15" customHeight="1">
      <c r="I5" s="1"/>
      <c r="J5" s="1"/>
      <c r="K5" s="1"/>
    </row>
    <row r="6" spans="1:11" ht="24" customHeight="1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7.25" customHeight="1">
      <c r="A7" s="88" t="s">
        <v>1</v>
      </c>
      <c r="B7" s="88" t="s">
        <v>2</v>
      </c>
      <c r="C7" s="89" t="s">
        <v>3</v>
      </c>
      <c r="D7" s="89"/>
      <c r="E7" s="89"/>
      <c r="F7" s="89" t="s">
        <v>4</v>
      </c>
      <c r="G7" s="89"/>
      <c r="H7" s="89"/>
      <c r="I7" s="89" t="s">
        <v>5</v>
      </c>
      <c r="J7" s="89"/>
      <c r="K7" s="89"/>
    </row>
    <row r="8" spans="1:11" ht="15" customHeight="1">
      <c r="A8" s="88"/>
      <c r="B8" s="88"/>
      <c r="C8" s="2" t="s">
        <v>6</v>
      </c>
      <c r="D8" s="2" t="s">
        <v>7</v>
      </c>
      <c r="E8" s="2" t="s">
        <v>8</v>
      </c>
      <c r="F8" s="2" t="s">
        <v>6</v>
      </c>
      <c r="G8" s="2" t="s">
        <v>7</v>
      </c>
      <c r="H8" s="2" t="s">
        <v>8</v>
      </c>
      <c r="I8" s="2" t="s">
        <v>6</v>
      </c>
      <c r="J8" s="2" t="s">
        <v>7</v>
      </c>
      <c r="K8" s="2" t="s">
        <v>8</v>
      </c>
    </row>
    <row r="9" spans="1:11" ht="11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s="7" customFormat="1" ht="37.5" customHeight="1">
      <c r="A10" s="4" t="s">
        <v>9</v>
      </c>
      <c r="B10" s="5" t="s">
        <v>100</v>
      </c>
      <c r="C10" s="6">
        <v>187655167</v>
      </c>
      <c r="D10" s="6">
        <v>31054808</v>
      </c>
      <c r="E10" s="6">
        <f>SUM(C10:D10)</f>
        <v>218709975</v>
      </c>
      <c r="F10" s="6">
        <f>F14+F255</f>
        <v>-3486438</v>
      </c>
      <c r="G10" s="6">
        <f>G14+G255</f>
        <v>-1495066</v>
      </c>
      <c r="H10" s="6">
        <f>SUM(F10:G10)</f>
        <v>-4981504</v>
      </c>
      <c r="I10" s="6">
        <f>C10+F10</f>
        <v>184168729</v>
      </c>
      <c r="J10" s="6">
        <f>D10+G10</f>
        <v>29559742</v>
      </c>
      <c r="K10" s="6">
        <f>E10+H10</f>
        <v>213728471</v>
      </c>
    </row>
    <row r="11" spans="1:11" s="10" customFormat="1" ht="15" customHeight="1">
      <c r="A11" s="8"/>
      <c r="B11" s="8" t="s">
        <v>10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s="13" customFormat="1" ht="15" customHeight="1">
      <c r="A12" s="11"/>
      <c r="B12" s="11" t="s">
        <v>164</v>
      </c>
      <c r="C12" s="12">
        <v>35493267</v>
      </c>
      <c r="D12" s="12">
        <v>2952000</v>
      </c>
      <c r="E12" s="12">
        <f>SUM(C12:D12)</f>
        <v>38445267</v>
      </c>
      <c r="F12" s="12">
        <f>F16+F257</f>
        <v>-1750617</v>
      </c>
      <c r="G12" s="12">
        <f>G16+G257</f>
        <v>-1495066</v>
      </c>
      <c r="H12" s="12">
        <f>SUM(F12:G12)</f>
        <v>-3245683</v>
      </c>
      <c r="I12" s="12">
        <f>C12+F12</f>
        <v>33742650</v>
      </c>
      <c r="J12" s="12">
        <f>D12+G12</f>
        <v>1456934</v>
      </c>
      <c r="K12" s="12">
        <f>E12+H12</f>
        <v>35199584</v>
      </c>
    </row>
    <row r="13" spans="1:11" ht="23.25" customHeight="1">
      <c r="A13" s="83" t="s">
        <v>12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s="7" customFormat="1" ht="15" customHeight="1">
      <c r="A14" s="3" t="s">
        <v>13</v>
      </c>
      <c r="B14" s="15" t="s">
        <v>14</v>
      </c>
      <c r="C14" s="16">
        <v>131522937</v>
      </c>
      <c r="D14" s="16">
        <v>19952131</v>
      </c>
      <c r="E14" s="6">
        <f>SUM(C14:D14)</f>
        <v>151475068</v>
      </c>
      <c r="F14" s="16">
        <f>F23+F30+F83+F61+F89+F151+F161+F182+F197+F220+F17+F43+F54+F176+F234</f>
        <v>-2857293</v>
      </c>
      <c r="G14" s="16">
        <f>G23+G30+G83+G61+G89+G151+G161+G182+G197+G220+G17+G43+G54+G176+G234</f>
        <v>-320600</v>
      </c>
      <c r="H14" s="6">
        <f>SUM(F14:G14)</f>
        <v>-3177893</v>
      </c>
      <c r="I14" s="6">
        <f>C14+F14</f>
        <v>128665644</v>
      </c>
      <c r="J14" s="6">
        <f>D14+G14</f>
        <v>19631531</v>
      </c>
      <c r="K14" s="6">
        <f>E14+H14</f>
        <v>148297175</v>
      </c>
    </row>
    <row r="15" spans="1:11" s="10" customFormat="1" ht="15" customHeight="1">
      <c r="A15" s="14"/>
      <c r="B15" s="17" t="s">
        <v>15</v>
      </c>
      <c r="C15" s="18"/>
      <c r="D15" s="18"/>
      <c r="E15" s="18"/>
      <c r="F15" s="18"/>
      <c r="G15" s="18"/>
      <c r="H15" s="9"/>
      <c r="I15" s="9"/>
      <c r="J15" s="9"/>
      <c r="K15" s="9"/>
    </row>
    <row r="16" spans="1:11" s="13" customFormat="1" ht="15" customHeight="1">
      <c r="A16" s="19"/>
      <c r="B16" s="11" t="s">
        <v>164</v>
      </c>
      <c r="C16" s="21">
        <v>31082599</v>
      </c>
      <c r="D16" s="21">
        <v>840000</v>
      </c>
      <c r="E16" s="12">
        <f>SUM(C16:D16)</f>
        <v>31922599</v>
      </c>
      <c r="F16" s="21">
        <f>F25+F32+F85+F63+F91+F153+F163+F184+F199+F222+F19+F45+F56+F178+F236</f>
        <v>-1175481</v>
      </c>
      <c r="G16" s="21">
        <f>G25+G32+G85+G63+G91+G153+G163+G184+G199+G222+G19+G45+G56+G178+G236</f>
        <v>-320600</v>
      </c>
      <c r="H16" s="12">
        <f>SUM(F16:G16)</f>
        <v>-1496081</v>
      </c>
      <c r="I16" s="12">
        <f aca="true" t="shared" si="0" ref="I16:K17">C16+F16</f>
        <v>29907118</v>
      </c>
      <c r="J16" s="12">
        <f t="shared" si="0"/>
        <v>519400</v>
      </c>
      <c r="K16" s="12">
        <f t="shared" si="0"/>
        <v>30426518</v>
      </c>
    </row>
    <row r="17" spans="1:11" s="7" customFormat="1" ht="15" customHeight="1">
      <c r="A17" s="3" t="s">
        <v>109</v>
      </c>
      <c r="B17" s="15" t="s">
        <v>110</v>
      </c>
      <c r="C17" s="16">
        <v>30960</v>
      </c>
      <c r="D17" s="16">
        <v>0</v>
      </c>
      <c r="E17" s="6">
        <f>SUM(C17:D17)</f>
        <v>30960</v>
      </c>
      <c r="F17" s="16">
        <f>F20</f>
        <v>1978</v>
      </c>
      <c r="G17" s="16">
        <v>0</v>
      </c>
      <c r="H17" s="6">
        <f>F17+G17</f>
        <v>1978</v>
      </c>
      <c r="I17" s="6">
        <f t="shared" si="0"/>
        <v>32938</v>
      </c>
      <c r="J17" s="6">
        <f t="shared" si="0"/>
        <v>0</v>
      </c>
      <c r="K17" s="6">
        <f t="shared" si="0"/>
        <v>32938</v>
      </c>
    </row>
    <row r="18" spans="1:11" s="10" customFormat="1" ht="12.75" customHeight="1">
      <c r="A18" s="14"/>
      <c r="B18" s="17" t="s">
        <v>10</v>
      </c>
      <c r="C18" s="18"/>
      <c r="D18" s="18"/>
      <c r="E18" s="9"/>
      <c r="F18" s="18"/>
      <c r="G18" s="18"/>
      <c r="H18" s="9"/>
      <c r="I18" s="9"/>
      <c r="J18" s="9"/>
      <c r="K18" s="9"/>
    </row>
    <row r="19" spans="1:11" s="13" customFormat="1" ht="15" customHeight="1">
      <c r="A19" s="19"/>
      <c r="B19" s="20" t="s">
        <v>11</v>
      </c>
      <c r="C19" s="21">
        <v>0</v>
      </c>
      <c r="D19" s="21">
        <v>0</v>
      </c>
      <c r="E19" s="12">
        <f>SUM(C19:D19)</f>
        <v>0</v>
      </c>
      <c r="F19" s="21">
        <v>0</v>
      </c>
      <c r="G19" s="21">
        <v>0</v>
      </c>
      <c r="H19" s="12">
        <f>F19+G19</f>
        <v>0</v>
      </c>
      <c r="I19" s="12">
        <f aca="true" t="shared" si="1" ref="I19:K22">C19+F19</f>
        <v>0</v>
      </c>
      <c r="J19" s="12">
        <f t="shared" si="1"/>
        <v>0</v>
      </c>
      <c r="K19" s="12">
        <f t="shared" si="1"/>
        <v>0</v>
      </c>
    </row>
    <row r="20" spans="1:11" s="7" customFormat="1" ht="15" customHeight="1">
      <c r="A20" s="81" t="s">
        <v>111</v>
      </c>
      <c r="B20" s="7" t="s">
        <v>31</v>
      </c>
      <c r="C20" s="23">
        <v>25760</v>
      </c>
      <c r="D20" s="23">
        <v>0</v>
      </c>
      <c r="E20" s="24">
        <f>SUM(C20:D20)</f>
        <v>25760</v>
      </c>
      <c r="F20" s="23">
        <f>SUM(F21:F22)</f>
        <v>1978</v>
      </c>
      <c r="G20" s="23">
        <v>0</v>
      </c>
      <c r="H20" s="24">
        <f>F20+G20</f>
        <v>1978</v>
      </c>
      <c r="I20" s="24">
        <f t="shared" si="1"/>
        <v>27738</v>
      </c>
      <c r="J20" s="24">
        <f t="shared" si="1"/>
        <v>0</v>
      </c>
      <c r="K20" s="24">
        <f t="shared" si="1"/>
        <v>27738</v>
      </c>
    </row>
    <row r="21" spans="1:11" s="10" customFormat="1" ht="13.5" customHeight="1">
      <c r="A21" s="25" t="s">
        <v>40</v>
      </c>
      <c r="B21" s="10" t="s">
        <v>41</v>
      </c>
      <c r="C21" s="26">
        <v>1947</v>
      </c>
      <c r="D21" s="26">
        <v>0</v>
      </c>
      <c r="E21" s="27">
        <f>SUM(C21:D21)</f>
        <v>1947</v>
      </c>
      <c r="F21" s="26">
        <v>1719</v>
      </c>
      <c r="G21" s="26">
        <v>0</v>
      </c>
      <c r="H21" s="27">
        <f>F21+G21</f>
        <v>1719</v>
      </c>
      <c r="I21" s="27">
        <f t="shared" si="1"/>
        <v>3666</v>
      </c>
      <c r="J21" s="27">
        <f t="shared" si="1"/>
        <v>0</v>
      </c>
      <c r="K21" s="27">
        <f t="shared" si="1"/>
        <v>3666</v>
      </c>
    </row>
    <row r="22" spans="1:11" s="10" customFormat="1" ht="13.5" customHeight="1">
      <c r="A22" s="25" t="s">
        <v>42</v>
      </c>
      <c r="B22" s="10" t="s">
        <v>43</v>
      </c>
      <c r="C22" s="26">
        <v>294</v>
      </c>
      <c r="D22" s="26">
        <v>0</v>
      </c>
      <c r="E22" s="27">
        <f>SUM(C22:D22)</f>
        <v>294</v>
      </c>
      <c r="F22" s="26">
        <v>259</v>
      </c>
      <c r="G22" s="26">
        <v>0</v>
      </c>
      <c r="H22" s="27">
        <f>F22+G22</f>
        <v>259</v>
      </c>
      <c r="I22" s="27">
        <f t="shared" si="1"/>
        <v>553</v>
      </c>
      <c r="J22" s="27">
        <f t="shared" si="1"/>
        <v>0</v>
      </c>
      <c r="K22" s="27">
        <f t="shared" si="1"/>
        <v>553</v>
      </c>
    </row>
    <row r="23" spans="1:11" s="36" customFormat="1" ht="15" customHeight="1">
      <c r="A23" s="3" t="s">
        <v>90</v>
      </c>
      <c r="B23" s="15" t="s">
        <v>91</v>
      </c>
      <c r="C23" s="16">
        <v>24460459</v>
      </c>
      <c r="D23" s="16">
        <v>0</v>
      </c>
      <c r="E23" s="6">
        <f>SUM(C23:D23)</f>
        <v>24460459</v>
      </c>
      <c r="F23" s="16">
        <f>F26+F28</f>
        <v>-30000</v>
      </c>
      <c r="G23" s="16">
        <v>0</v>
      </c>
      <c r="H23" s="6">
        <f>F23+G23</f>
        <v>-30000</v>
      </c>
      <c r="I23" s="6">
        <f>C23+F23</f>
        <v>24430459</v>
      </c>
      <c r="J23" s="6">
        <f>D23+G23</f>
        <v>0</v>
      </c>
      <c r="K23" s="6">
        <f>E23+H23</f>
        <v>24430459</v>
      </c>
    </row>
    <row r="24" spans="1:11" s="34" customFormat="1" ht="15" customHeight="1">
      <c r="A24" s="14"/>
      <c r="B24" s="17" t="s">
        <v>10</v>
      </c>
      <c r="C24" s="18"/>
      <c r="D24" s="18"/>
      <c r="E24" s="9"/>
      <c r="F24" s="18"/>
      <c r="G24" s="18"/>
      <c r="H24" s="9"/>
      <c r="I24" s="9"/>
      <c r="J24" s="9"/>
      <c r="K24" s="9"/>
    </row>
    <row r="25" spans="1:11" s="37" customFormat="1" ht="15" customHeight="1">
      <c r="A25" s="19"/>
      <c r="B25" s="11" t="s">
        <v>164</v>
      </c>
      <c r="C25" s="21">
        <v>17515509</v>
      </c>
      <c r="D25" s="21">
        <v>0</v>
      </c>
      <c r="E25" s="12">
        <f aca="true" t="shared" si="2" ref="E25:E30">SUM(C25:D25)</f>
        <v>17515509</v>
      </c>
      <c r="F25" s="21">
        <f>F27+F29</f>
        <v>-30000</v>
      </c>
      <c r="G25" s="21">
        <v>0</v>
      </c>
      <c r="H25" s="12">
        <f aca="true" t="shared" si="3" ref="H25:H30">F25+G25</f>
        <v>-30000</v>
      </c>
      <c r="I25" s="12">
        <f aca="true" t="shared" si="4" ref="I25:K30">C25+F25</f>
        <v>17485509</v>
      </c>
      <c r="J25" s="12">
        <f t="shared" si="4"/>
        <v>0</v>
      </c>
      <c r="K25" s="12">
        <f t="shared" si="4"/>
        <v>17485509</v>
      </c>
    </row>
    <row r="26" spans="1:11" s="29" customFormat="1" ht="14.25" customHeight="1">
      <c r="A26" s="28">
        <v>60004</v>
      </c>
      <c r="B26" s="29" t="s">
        <v>151</v>
      </c>
      <c r="C26" s="23">
        <v>3970180</v>
      </c>
      <c r="D26" s="23">
        <v>0</v>
      </c>
      <c r="E26" s="24">
        <f t="shared" si="2"/>
        <v>3970180</v>
      </c>
      <c r="F26" s="30">
        <f>SUM(F27:F27)</f>
        <v>1700000</v>
      </c>
      <c r="G26" s="30">
        <v>0</v>
      </c>
      <c r="H26" s="24">
        <f t="shared" si="3"/>
        <v>1700000</v>
      </c>
      <c r="I26" s="24">
        <f t="shared" si="4"/>
        <v>5670180</v>
      </c>
      <c r="J26" s="24">
        <f t="shared" si="4"/>
        <v>0</v>
      </c>
      <c r="K26" s="24">
        <f t="shared" si="4"/>
        <v>5670180</v>
      </c>
    </row>
    <row r="27" spans="1:11" s="32" customFormat="1" ht="15" customHeight="1">
      <c r="A27" s="31" t="s">
        <v>92</v>
      </c>
      <c r="B27" s="32" t="s">
        <v>93</v>
      </c>
      <c r="C27" s="26">
        <v>530000</v>
      </c>
      <c r="D27" s="26">
        <v>0</v>
      </c>
      <c r="E27" s="27">
        <f t="shared" si="2"/>
        <v>530000</v>
      </c>
      <c r="F27" s="33">
        <v>1700000</v>
      </c>
      <c r="G27" s="33">
        <v>0</v>
      </c>
      <c r="H27" s="27">
        <f t="shared" si="3"/>
        <v>1700000</v>
      </c>
      <c r="I27" s="27">
        <f t="shared" si="4"/>
        <v>2230000</v>
      </c>
      <c r="J27" s="27">
        <f t="shared" si="4"/>
        <v>0</v>
      </c>
      <c r="K27" s="27">
        <f t="shared" si="4"/>
        <v>2230000</v>
      </c>
    </row>
    <row r="28" spans="1:11" s="29" customFormat="1" ht="14.25" customHeight="1">
      <c r="A28" s="28">
        <v>60016</v>
      </c>
      <c r="B28" s="29" t="s">
        <v>96</v>
      </c>
      <c r="C28" s="23">
        <v>19798819</v>
      </c>
      <c r="D28" s="23">
        <v>0</v>
      </c>
      <c r="E28" s="24">
        <f t="shared" si="2"/>
        <v>19798819</v>
      </c>
      <c r="F28" s="30">
        <f>SUM(F29:F29)</f>
        <v>-1730000</v>
      </c>
      <c r="G28" s="30">
        <v>0</v>
      </c>
      <c r="H28" s="24">
        <f t="shared" si="3"/>
        <v>-1730000</v>
      </c>
      <c r="I28" s="24">
        <f t="shared" si="4"/>
        <v>18068819</v>
      </c>
      <c r="J28" s="24">
        <f t="shared" si="4"/>
        <v>0</v>
      </c>
      <c r="K28" s="24">
        <f t="shared" si="4"/>
        <v>18068819</v>
      </c>
    </row>
    <row r="29" spans="1:11" s="32" customFormat="1" ht="15" customHeight="1">
      <c r="A29" s="31" t="s">
        <v>58</v>
      </c>
      <c r="B29" s="32" t="s">
        <v>59</v>
      </c>
      <c r="C29" s="26">
        <v>3013959</v>
      </c>
      <c r="D29" s="26">
        <v>0</v>
      </c>
      <c r="E29" s="27">
        <f t="shared" si="2"/>
        <v>3013959</v>
      </c>
      <c r="F29" s="33">
        <f>-1710000-20000</f>
        <v>-1730000</v>
      </c>
      <c r="G29" s="33">
        <v>0</v>
      </c>
      <c r="H29" s="27">
        <f t="shared" si="3"/>
        <v>-1730000</v>
      </c>
      <c r="I29" s="27">
        <f t="shared" si="4"/>
        <v>1283959</v>
      </c>
      <c r="J29" s="27">
        <f t="shared" si="4"/>
        <v>0</v>
      </c>
      <c r="K29" s="27">
        <f t="shared" si="4"/>
        <v>1283959</v>
      </c>
    </row>
    <row r="30" spans="1:11" s="45" customFormat="1" ht="15" customHeight="1">
      <c r="A30" s="41" t="s">
        <v>25</v>
      </c>
      <c r="B30" s="42" t="s">
        <v>28</v>
      </c>
      <c r="C30" s="43">
        <v>8456632</v>
      </c>
      <c r="D30" s="43">
        <v>440000</v>
      </c>
      <c r="E30" s="44">
        <f t="shared" si="2"/>
        <v>8896632</v>
      </c>
      <c r="F30" s="43">
        <f>F33+F39</f>
        <v>899912</v>
      </c>
      <c r="G30" s="43">
        <f>G39</f>
        <v>-160600</v>
      </c>
      <c r="H30" s="44">
        <f t="shared" si="3"/>
        <v>739312</v>
      </c>
      <c r="I30" s="44">
        <f t="shared" si="4"/>
        <v>9356544</v>
      </c>
      <c r="J30" s="44">
        <f t="shared" si="4"/>
        <v>279400</v>
      </c>
      <c r="K30" s="44">
        <f t="shared" si="4"/>
        <v>9635944</v>
      </c>
    </row>
    <row r="31" spans="1:11" s="45" customFormat="1" ht="13.5" customHeight="1">
      <c r="A31" s="46"/>
      <c r="B31" s="47" t="s">
        <v>10</v>
      </c>
      <c r="C31" s="48"/>
      <c r="D31" s="48"/>
      <c r="E31" s="49"/>
      <c r="F31" s="48"/>
      <c r="G31" s="48"/>
      <c r="H31" s="49"/>
      <c r="I31" s="49"/>
      <c r="J31" s="49"/>
      <c r="K31" s="49"/>
    </row>
    <row r="32" spans="1:11" s="45" customFormat="1" ht="13.5" customHeight="1">
      <c r="A32" s="50"/>
      <c r="B32" s="11" t="s">
        <v>164</v>
      </c>
      <c r="C32" s="51">
        <v>4084076</v>
      </c>
      <c r="D32" s="51">
        <v>440000</v>
      </c>
      <c r="E32" s="52">
        <f aca="true" t="shared" si="5" ref="E32:E43">SUM(C32:D32)</f>
        <v>4524076</v>
      </c>
      <c r="F32" s="51">
        <f>F41+F38+F42</f>
        <v>1266798</v>
      </c>
      <c r="G32" s="51">
        <f>G41</f>
        <v>-160600</v>
      </c>
      <c r="H32" s="52">
        <f aca="true" t="shared" si="6" ref="H32:H43">F32+G32</f>
        <v>1106198</v>
      </c>
      <c r="I32" s="52">
        <f>C32+F32</f>
        <v>5350874</v>
      </c>
      <c r="J32" s="52">
        <f>D32+G32</f>
        <v>279400</v>
      </c>
      <c r="K32" s="52">
        <f>E32+H32</f>
        <v>5630274</v>
      </c>
    </row>
    <row r="33" spans="1:11" s="45" customFormat="1" ht="13.5" customHeight="1">
      <c r="A33" s="71">
        <v>70001</v>
      </c>
      <c r="B33" s="69" t="s">
        <v>140</v>
      </c>
      <c r="C33" s="55">
        <v>2814620</v>
      </c>
      <c r="D33" s="55">
        <v>0</v>
      </c>
      <c r="E33" s="56">
        <f t="shared" si="5"/>
        <v>2814620</v>
      </c>
      <c r="F33" s="55">
        <f>SUM(F34:F35)</f>
        <v>93114</v>
      </c>
      <c r="G33" s="55">
        <f>SUM(G34:G34)</f>
        <v>0</v>
      </c>
      <c r="H33" s="56">
        <f t="shared" si="6"/>
        <v>93114</v>
      </c>
      <c r="I33" s="56">
        <f aca="true" t="shared" si="7" ref="I33:K38">C33+F33</f>
        <v>2907734</v>
      </c>
      <c r="J33" s="56">
        <f t="shared" si="7"/>
        <v>0</v>
      </c>
      <c r="K33" s="56">
        <f t="shared" si="7"/>
        <v>2907734</v>
      </c>
    </row>
    <row r="34" spans="1:11" s="45" customFormat="1" ht="13.5" customHeight="1">
      <c r="A34" s="67" t="s">
        <v>55</v>
      </c>
      <c r="B34" s="68" t="s">
        <v>56</v>
      </c>
      <c r="C34" s="64">
        <v>2714620</v>
      </c>
      <c r="D34" s="64">
        <v>0</v>
      </c>
      <c r="E34" s="65">
        <f t="shared" si="5"/>
        <v>2714620</v>
      </c>
      <c r="F34" s="64">
        <f>-11886+170000</f>
        <v>158114</v>
      </c>
      <c r="G34" s="64">
        <v>0</v>
      </c>
      <c r="H34" s="65">
        <f t="shared" si="6"/>
        <v>158114</v>
      </c>
      <c r="I34" s="65">
        <f t="shared" si="7"/>
        <v>2872734</v>
      </c>
      <c r="J34" s="65">
        <f t="shared" si="7"/>
        <v>0</v>
      </c>
      <c r="K34" s="65">
        <f t="shared" si="7"/>
        <v>2872734</v>
      </c>
    </row>
    <row r="35" spans="1:11" s="10" customFormat="1" ht="13.5" customHeight="1">
      <c r="A35" s="25" t="s">
        <v>47</v>
      </c>
      <c r="B35" s="10" t="s">
        <v>48</v>
      </c>
      <c r="C35" s="26">
        <v>100000</v>
      </c>
      <c r="D35" s="26">
        <v>0</v>
      </c>
      <c r="E35" s="27">
        <f t="shared" si="5"/>
        <v>100000</v>
      </c>
      <c r="F35" s="26">
        <f>-65000</f>
        <v>-65000</v>
      </c>
      <c r="G35" s="26">
        <v>0</v>
      </c>
      <c r="H35" s="27">
        <f t="shared" si="6"/>
        <v>-65000</v>
      </c>
      <c r="I35" s="27">
        <f t="shared" si="7"/>
        <v>35000</v>
      </c>
      <c r="J35" s="27">
        <f t="shared" si="7"/>
        <v>0</v>
      </c>
      <c r="K35" s="27">
        <f t="shared" si="7"/>
        <v>35000</v>
      </c>
    </row>
    <row r="36" spans="1:11" s="45" customFormat="1" ht="13.5" customHeight="1">
      <c r="A36" s="71">
        <v>70005</v>
      </c>
      <c r="B36" s="69" t="s">
        <v>26</v>
      </c>
      <c r="C36" s="55">
        <v>1919680</v>
      </c>
      <c r="D36" s="55">
        <v>0</v>
      </c>
      <c r="E36" s="56">
        <f>SUM(C36:D36)</f>
        <v>1919680</v>
      </c>
      <c r="F36" s="55">
        <f>SUM(F37:F38)</f>
        <v>0</v>
      </c>
      <c r="G36" s="55">
        <f>SUM(G38:G38)</f>
        <v>0</v>
      </c>
      <c r="H36" s="56">
        <f>F36+G36</f>
        <v>0</v>
      </c>
      <c r="I36" s="56">
        <f t="shared" si="7"/>
        <v>1919680</v>
      </c>
      <c r="J36" s="56">
        <f t="shared" si="7"/>
        <v>0</v>
      </c>
      <c r="K36" s="56">
        <f t="shared" si="7"/>
        <v>1919680</v>
      </c>
    </row>
    <row r="37" spans="1:11" s="45" customFormat="1" ht="13.5" customHeight="1">
      <c r="A37" s="62" t="s">
        <v>27</v>
      </c>
      <c r="B37" s="63" t="s">
        <v>161</v>
      </c>
      <c r="C37" s="64">
        <v>759000</v>
      </c>
      <c r="D37" s="64">
        <v>0</v>
      </c>
      <c r="E37" s="65">
        <f>SUM(C37:D37)</f>
        <v>759000</v>
      </c>
      <c r="F37" s="66">
        <v>-440000</v>
      </c>
      <c r="G37" s="66">
        <v>0</v>
      </c>
      <c r="H37" s="65">
        <f>F37+G37</f>
        <v>-440000</v>
      </c>
      <c r="I37" s="65">
        <f t="shared" si="7"/>
        <v>319000</v>
      </c>
      <c r="J37" s="65">
        <f t="shared" si="7"/>
        <v>0</v>
      </c>
      <c r="K37" s="65">
        <f t="shared" si="7"/>
        <v>319000</v>
      </c>
    </row>
    <row r="38" spans="1:11" s="45" customFormat="1" ht="13.5" customHeight="1">
      <c r="A38" s="67" t="s">
        <v>113</v>
      </c>
      <c r="B38" s="68" t="s">
        <v>114</v>
      </c>
      <c r="C38" s="64">
        <v>854744</v>
      </c>
      <c r="D38" s="64">
        <v>0</v>
      </c>
      <c r="E38" s="65">
        <f>SUM(C38:D38)</f>
        <v>854744</v>
      </c>
      <c r="F38" s="64">
        <v>440000</v>
      </c>
      <c r="G38" s="64">
        <v>0</v>
      </c>
      <c r="H38" s="65">
        <f>F38+G38</f>
        <v>440000</v>
      </c>
      <c r="I38" s="65">
        <f t="shared" si="7"/>
        <v>1294744</v>
      </c>
      <c r="J38" s="65">
        <f t="shared" si="7"/>
        <v>0</v>
      </c>
      <c r="K38" s="65">
        <f t="shared" si="7"/>
        <v>1294744</v>
      </c>
    </row>
    <row r="39" spans="1:11" s="45" customFormat="1" ht="13.5" customHeight="1">
      <c r="A39" s="71">
        <v>70095</v>
      </c>
      <c r="B39" s="69" t="s">
        <v>31</v>
      </c>
      <c r="C39" s="55">
        <v>3722332</v>
      </c>
      <c r="D39" s="55">
        <v>440000</v>
      </c>
      <c r="E39" s="56">
        <f t="shared" si="5"/>
        <v>4162332</v>
      </c>
      <c r="F39" s="55">
        <f>SUM(F40:F42)</f>
        <v>806798</v>
      </c>
      <c r="G39" s="55">
        <f>SUM(G41:G41)</f>
        <v>-160600</v>
      </c>
      <c r="H39" s="56">
        <f t="shared" si="6"/>
        <v>646198</v>
      </c>
      <c r="I39" s="56">
        <f aca="true" t="shared" si="8" ref="I39:K43">C39+F39</f>
        <v>4529130</v>
      </c>
      <c r="J39" s="56">
        <f t="shared" si="8"/>
        <v>279400</v>
      </c>
      <c r="K39" s="56">
        <f t="shared" si="8"/>
        <v>4808530</v>
      </c>
    </row>
    <row r="40" spans="1:11" s="45" customFormat="1" ht="13.5" customHeight="1">
      <c r="A40" s="62" t="s">
        <v>27</v>
      </c>
      <c r="B40" s="63" t="s">
        <v>162</v>
      </c>
      <c r="C40" s="64">
        <v>120000</v>
      </c>
      <c r="D40" s="64">
        <v>0</v>
      </c>
      <c r="E40" s="65">
        <f>SUM(C40:D40)</f>
        <v>120000</v>
      </c>
      <c r="F40" s="66">
        <v>-20000</v>
      </c>
      <c r="G40" s="66">
        <v>0</v>
      </c>
      <c r="H40" s="65">
        <f>F40+G40</f>
        <v>-20000</v>
      </c>
      <c r="I40" s="65">
        <f t="shared" si="8"/>
        <v>100000</v>
      </c>
      <c r="J40" s="65">
        <f t="shared" si="8"/>
        <v>0</v>
      </c>
      <c r="K40" s="65">
        <f t="shared" si="8"/>
        <v>100000</v>
      </c>
    </row>
    <row r="41" spans="1:11" s="45" customFormat="1" ht="13.5" customHeight="1">
      <c r="A41" s="67" t="s">
        <v>58</v>
      </c>
      <c r="B41" s="68" t="s">
        <v>59</v>
      </c>
      <c r="C41" s="64">
        <v>3229332</v>
      </c>
      <c r="D41" s="64">
        <v>440000</v>
      </c>
      <c r="E41" s="65">
        <f t="shared" si="5"/>
        <v>3669332</v>
      </c>
      <c r="F41" s="64">
        <f>-1150602+160000-387000+4400</f>
        <v>-1373202</v>
      </c>
      <c r="G41" s="64">
        <f>-160600</f>
        <v>-160600</v>
      </c>
      <c r="H41" s="65">
        <f t="shared" si="6"/>
        <v>-1533802</v>
      </c>
      <c r="I41" s="65">
        <f t="shared" si="8"/>
        <v>1856130</v>
      </c>
      <c r="J41" s="65">
        <f t="shared" si="8"/>
        <v>279400</v>
      </c>
      <c r="K41" s="65">
        <f t="shared" si="8"/>
        <v>2135530</v>
      </c>
    </row>
    <row r="42" spans="1:11" s="45" customFormat="1" ht="13.5" customHeight="1">
      <c r="A42" s="67" t="s">
        <v>113</v>
      </c>
      <c r="B42" s="68" t="s">
        <v>114</v>
      </c>
      <c r="C42" s="64">
        <v>0</v>
      </c>
      <c r="D42" s="64">
        <v>0</v>
      </c>
      <c r="E42" s="65">
        <f>SUM(C42:D42)</f>
        <v>0</v>
      </c>
      <c r="F42" s="64">
        <v>2200000</v>
      </c>
      <c r="G42" s="64">
        <v>0</v>
      </c>
      <c r="H42" s="65">
        <f>F42+G42</f>
        <v>2200000</v>
      </c>
      <c r="I42" s="65">
        <f t="shared" si="8"/>
        <v>2200000</v>
      </c>
      <c r="J42" s="65">
        <f t="shared" si="8"/>
        <v>0</v>
      </c>
      <c r="K42" s="65">
        <f t="shared" si="8"/>
        <v>2200000</v>
      </c>
    </row>
    <row r="43" spans="1:11" s="7" customFormat="1" ht="15" customHeight="1">
      <c r="A43" s="3" t="s">
        <v>105</v>
      </c>
      <c r="B43" s="15" t="s">
        <v>106</v>
      </c>
      <c r="C43" s="16">
        <v>1422600</v>
      </c>
      <c r="D43" s="16">
        <v>30000</v>
      </c>
      <c r="E43" s="6">
        <f t="shared" si="5"/>
        <v>1452600</v>
      </c>
      <c r="F43" s="16">
        <f>F46+F48</f>
        <v>-266180</v>
      </c>
      <c r="G43" s="16">
        <v>0</v>
      </c>
      <c r="H43" s="6">
        <f t="shared" si="6"/>
        <v>-266180</v>
      </c>
      <c r="I43" s="6">
        <f t="shared" si="8"/>
        <v>1156420</v>
      </c>
      <c r="J43" s="6">
        <f t="shared" si="8"/>
        <v>30000</v>
      </c>
      <c r="K43" s="6">
        <f t="shared" si="8"/>
        <v>1186420</v>
      </c>
    </row>
    <row r="44" spans="1:11" s="10" customFormat="1" ht="15" customHeight="1">
      <c r="A44" s="14"/>
      <c r="B44" s="17" t="s">
        <v>10</v>
      </c>
      <c r="C44" s="18"/>
      <c r="D44" s="18"/>
      <c r="E44" s="9"/>
      <c r="F44" s="18"/>
      <c r="G44" s="18"/>
      <c r="H44" s="9"/>
      <c r="I44" s="9"/>
      <c r="J44" s="9"/>
      <c r="K44" s="9"/>
    </row>
    <row r="45" spans="1:11" s="13" customFormat="1" ht="15" customHeight="1">
      <c r="A45" s="19"/>
      <c r="B45" s="11" t="s">
        <v>164</v>
      </c>
      <c r="C45" s="21">
        <v>29500</v>
      </c>
      <c r="D45" s="21">
        <v>0</v>
      </c>
      <c r="E45" s="12">
        <f aca="true" t="shared" si="9" ref="E45:E53">SUM(C45:D45)</f>
        <v>29500</v>
      </c>
      <c r="F45" s="21">
        <v>0</v>
      </c>
      <c r="G45" s="21">
        <v>0</v>
      </c>
      <c r="H45" s="12">
        <f aca="true" t="shared" si="10" ref="H45:H53">F45+G45</f>
        <v>0</v>
      </c>
      <c r="I45" s="12">
        <f aca="true" t="shared" si="11" ref="I45:K47">C45+F45</f>
        <v>29500</v>
      </c>
      <c r="J45" s="12">
        <f t="shared" si="11"/>
        <v>0</v>
      </c>
      <c r="K45" s="12">
        <f t="shared" si="11"/>
        <v>29500</v>
      </c>
    </row>
    <row r="46" spans="1:11" s="7" customFormat="1" ht="15" customHeight="1">
      <c r="A46" s="22">
        <v>71035</v>
      </c>
      <c r="B46" s="7" t="s">
        <v>148</v>
      </c>
      <c r="C46" s="23">
        <v>60000</v>
      </c>
      <c r="D46" s="23">
        <v>30000</v>
      </c>
      <c r="E46" s="24">
        <f>SUM(C46:D46)</f>
        <v>90000</v>
      </c>
      <c r="F46" s="23">
        <f>SUM(F47:F47)</f>
        <v>-30000</v>
      </c>
      <c r="G46" s="23">
        <v>0</v>
      </c>
      <c r="H46" s="24">
        <f>F46+G46</f>
        <v>-30000</v>
      </c>
      <c r="I46" s="24">
        <f t="shared" si="11"/>
        <v>30000</v>
      </c>
      <c r="J46" s="24">
        <f t="shared" si="11"/>
        <v>30000</v>
      </c>
      <c r="K46" s="24">
        <f t="shared" si="11"/>
        <v>60000</v>
      </c>
    </row>
    <row r="47" spans="1:11" s="10" customFormat="1" ht="15" customHeight="1">
      <c r="A47" s="25" t="s">
        <v>55</v>
      </c>
      <c r="B47" s="10" t="s">
        <v>56</v>
      </c>
      <c r="C47" s="26">
        <v>60000</v>
      </c>
      <c r="D47" s="26">
        <v>30000</v>
      </c>
      <c r="E47" s="27">
        <f>SUM(C47:D47)</f>
        <v>90000</v>
      </c>
      <c r="F47" s="26">
        <v>-30000</v>
      </c>
      <c r="G47" s="26">
        <v>0</v>
      </c>
      <c r="H47" s="27">
        <f>F47+G47</f>
        <v>-30000</v>
      </c>
      <c r="I47" s="27">
        <f t="shared" si="11"/>
        <v>30000</v>
      </c>
      <c r="J47" s="27">
        <f t="shared" si="11"/>
        <v>30000</v>
      </c>
      <c r="K47" s="27">
        <f t="shared" si="11"/>
        <v>60000</v>
      </c>
    </row>
    <row r="48" spans="1:11" s="7" customFormat="1" ht="15" customHeight="1">
      <c r="A48" s="22">
        <v>71095</v>
      </c>
      <c r="B48" s="7" t="s">
        <v>31</v>
      </c>
      <c r="C48" s="23">
        <v>1302600</v>
      </c>
      <c r="D48" s="23">
        <v>0</v>
      </c>
      <c r="E48" s="24">
        <f t="shared" si="9"/>
        <v>1302600</v>
      </c>
      <c r="F48" s="23">
        <f>SUM(F49:F53)</f>
        <v>-236180</v>
      </c>
      <c r="G48" s="23">
        <v>0</v>
      </c>
      <c r="H48" s="24">
        <f t="shared" si="10"/>
        <v>-236180</v>
      </c>
      <c r="I48" s="24">
        <f aca="true" t="shared" si="12" ref="I48:K52">C48+F48</f>
        <v>1066420</v>
      </c>
      <c r="J48" s="24">
        <f t="shared" si="12"/>
        <v>0</v>
      </c>
      <c r="K48" s="24">
        <f t="shared" si="12"/>
        <v>1066420</v>
      </c>
    </row>
    <row r="49" spans="1:11" s="10" customFormat="1" ht="15" customHeight="1">
      <c r="A49" s="25" t="s">
        <v>40</v>
      </c>
      <c r="B49" s="10" t="s">
        <v>41</v>
      </c>
      <c r="C49" s="26">
        <v>115760</v>
      </c>
      <c r="D49" s="26">
        <v>0</v>
      </c>
      <c r="E49" s="27">
        <f t="shared" si="9"/>
        <v>115760</v>
      </c>
      <c r="F49" s="26">
        <v>-4000</v>
      </c>
      <c r="G49" s="26">
        <v>0</v>
      </c>
      <c r="H49" s="27">
        <f t="shared" si="10"/>
        <v>-4000</v>
      </c>
      <c r="I49" s="27">
        <f t="shared" si="12"/>
        <v>111760</v>
      </c>
      <c r="J49" s="27">
        <f t="shared" si="12"/>
        <v>0</v>
      </c>
      <c r="K49" s="27">
        <f t="shared" si="12"/>
        <v>111760</v>
      </c>
    </row>
    <row r="50" spans="1:11" s="10" customFormat="1" ht="15" customHeight="1">
      <c r="A50" s="25" t="s">
        <v>42</v>
      </c>
      <c r="B50" s="10" t="s">
        <v>43</v>
      </c>
      <c r="C50" s="26">
        <v>17240</v>
      </c>
      <c r="D50" s="26">
        <v>0</v>
      </c>
      <c r="E50" s="27">
        <f t="shared" si="9"/>
        <v>17240</v>
      </c>
      <c r="F50" s="26">
        <v>-500</v>
      </c>
      <c r="G50" s="26">
        <v>0</v>
      </c>
      <c r="H50" s="27">
        <f t="shared" si="10"/>
        <v>-500</v>
      </c>
      <c r="I50" s="27">
        <f t="shared" si="12"/>
        <v>16740</v>
      </c>
      <c r="J50" s="27">
        <f t="shared" si="12"/>
        <v>0</v>
      </c>
      <c r="K50" s="27">
        <f t="shared" si="12"/>
        <v>16740</v>
      </c>
    </row>
    <row r="51" spans="1:11" s="10" customFormat="1" ht="15" customHeight="1">
      <c r="A51" s="25" t="s">
        <v>44</v>
      </c>
      <c r="B51" s="10" t="s">
        <v>45</v>
      </c>
      <c r="C51" s="26">
        <v>25000</v>
      </c>
      <c r="D51" s="26">
        <v>0</v>
      </c>
      <c r="E51" s="27">
        <f t="shared" si="9"/>
        <v>25000</v>
      </c>
      <c r="F51" s="26">
        <v>-19000</v>
      </c>
      <c r="G51" s="26">
        <v>0</v>
      </c>
      <c r="H51" s="27">
        <f t="shared" si="10"/>
        <v>-19000</v>
      </c>
      <c r="I51" s="27">
        <f t="shared" si="12"/>
        <v>6000</v>
      </c>
      <c r="J51" s="27">
        <f t="shared" si="12"/>
        <v>0</v>
      </c>
      <c r="K51" s="27">
        <f t="shared" si="12"/>
        <v>6000</v>
      </c>
    </row>
    <row r="52" spans="1:11" s="10" customFormat="1" ht="15" customHeight="1">
      <c r="A52" s="25" t="s">
        <v>47</v>
      </c>
      <c r="B52" s="10" t="s">
        <v>48</v>
      </c>
      <c r="C52" s="26">
        <v>368100</v>
      </c>
      <c r="D52" s="26">
        <v>0</v>
      </c>
      <c r="E52" s="27">
        <f t="shared" si="9"/>
        <v>368100</v>
      </c>
      <c r="F52" s="26">
        <v>-210000</v>
      </c>
      <c r="G52" s="26">
        <v>0</v>
      </c>
      <c r="H52" s="27">
        <f t="shared" si="10"/>
        <v>-210000</v>
      </c>
      <c r="I52" s="27">
        <f t="shared" si="12"/>
        <v>158100</v>
      </c>
      <c r="J52" s="27">
        <f t="shared" si="12"/>
        <v>0</v>
      </c>
      <c r="K52" s="27">
        <f t="shared" si="12"/>
        <v>158100</v>
      </c>
    </row>
    <row r="53" spans="1:11" s="10" customFormat="1" ht="15" customHeight="1">
      <c r="A53" s="25" t="s">
        <v>107</v>
      </c>
      <c r="B53" s="10" t="s">
        <v>108</v>
      </c>
      <c r="C53" s="26">
        <v>2680</v>
      </c>
      <c r="D53" s="26">
        <v>0</v>
      </c>
      <c r="E53" s="27">
        <f t="shared" si="9"/>
        <v>2680</v>
      </c>
      <c r="F53" s="26">
        <v>-2680</v>
      </c>
      <c r="G53" s="26">
        <v>0</v>
      </c>
      <c r="H53" s="27">
        <f t="shared" si="10"/>
        <v>-2680</v>
      </c>
      <c r="I53" s="27">
        <f aca="true" t="shared" si="13" ref="I53:K54">C53+F53</f>
        <v>0</v>
      </c>
      <c r="J53" s="27">
        <f t="shared" si="13"/>
        <v>0</v>
      </c>
      <c r="K53" s="27">
        <f t="shared" si="13"/>
        <v>0</v>
      </c>
    </row>
    <row r="54" spans="1:11" s="7" customFormat="1" ht="15" customHeight="1">
      <c r="A54" s="3" t="s">
        <v>67</v>
      </c>
      <c r="B54" s="15" t="s">
        <v>115</v>
      </c>
      <c r="C54" s="16">
        <v>17227337</v>
      </c>
      <c r="D54" s="16">
        <v>438592</v>
      </c>
      <c r="E54" s="6">
        <f>SUM(C54:D54)</f>
        <v>17665929</v>
      </c>
      <c r="F54" s="16">
        <f>F57</f>
        <v>-1400095</v>
      </c>
      <c r="G54" s="16">
        <f>G61</f>
        <v>0</v>
      </c>
      <c r="H54" s="6">
        <f>F54+G54</f>
        <v>-1400095</v>
      </c>
      <c r="I54" s="6">
        <f t="shared" si="13"/>
        <v>15827242</v>
      </c>
      <c r="J54" s="6">
        <f t="shared" si="13"/>
        <v>438592</v>
      </c>
      <c r="K54" s="6">
        <f t="shared" si="13"/>
        <v>16265834</v>
      </c>
    </row>
    <row r="55" spans="1:11" s="10" customFormat="1" ht="15" customHeight="1">
      <c r="A55" s="14"/>
      <c r="B55" s="17" t="s">
        <v>10</v>
      </c>
      <c r="C55" s="18"/>
      <c r="D55" s="18"/>
      <c r="E55" s="9"/>
      <c r="F55" s="18"/>
      <c r="G55" s="18"/>
      <c r="H55" s="9"/>
      <c r="I55" s="9"/>
      <c r="J55" s="9"/>
      <c r="K55" s="9"/>
    </row>
    <row r="56" spans="1:11" s="13" customFormat="1" ht="15" customHeight="1">
      <c r="A56" s="19"/>
      <c r="B56" s="11" t="s">
        <v>164</v>
      </c>
      <c r="C56" s="21">
        <v>2074020</v>
      </c>
      <c r="D56" s="21">
        <v>0</v>
      </c>
      <c r="E56" s="12">
        <f aca="true" t="shared" si="14" ref="E56:E61">SUM(C56:D56)</f>
        <v>2074020</v>
      </c>
      <c r="F56" s="21">
        <f>F59+F60</f>
        <v>-1261095</v>
      </c>
      <c r="G56" s="21">
        <v>0</v>
      </c>
      <c r="H56" s="12">
        <f aca="true" t="shared" si="15" ref="H56:H61">F56+G56</f>
        <v>-1261095</v>
      </c>
      <c r="I56" s="12">
        <f aca="true" t="shared" si="16" ref="I56:K60">C56+F56</f>
        <v>812925</v>
      </c>
      <c r="J56" s="12">
        <f t="shared" si="16"/>
        <v>0</v>
      </c>
      <c r="K56" s="12">
        <f t="shared" si="16"/>
        <v>812925</v>
      </c>
    </row>
    <row r="57" spans="1:11" s="29" customFormat="1" ht="15" customHeight="1">
      <c r="A57" s="28">
        <v>75023</v>
      </c>
      <c r="B57" s="29" t="s">
        <v>116</v>
      </c>
      <c r="C57" s="23">
        <v>15999011</v>
      </c>
      <c r="D57" s="23">
        <v>0</v>
      </c>
      <c r="E57" s="24">
        <f t="shared" si="14"/>
        <v>15999011</v>
      </c>
      <c r="F57" s="30">
        <f>SUM(F58:F60)</f>
        <v>-1400095</v>
      </c>
      <c r="G57" s="30">
        <v>0</v>
      </c>
      <c r="H57" s="24">
        <f t="shared" si="15"/>
        <v>-1400095</v>
      </c>
      <c r="I57" s="24">
        <f t="shared" si="16"/>
        <v>14598916</v>
      </c>
      <c r="J57" s="24">
        <f t="shared" si="16"/>
        <v>0</v>
      </c>
      <c r="K57" s="24">
        <f t="shared" si="16"/>
        <v>14598916</v>
      </c>
    </row>
    <row r="58" spans="1:11" s="68" customFormat="1" ht="15" customHeight="1">
      <c r="A58" s="62" t="s">
        <v>47</v>
      </c>
      <c r="B58" s="63" t="s">
        <v>48</v>
      </c>
      <c r="C58" s="66">
        <v>1529619</v>
      </c>
      <c r="D58" s="66">
        <v>0</v>
      </c>
      <c r="E58" s="65">
        <f t="shared" si="14"/>
        <v>1529619</v>
      </c>
      <c r="F58" s="66">
        <f>-139000</f>
        <v>-139000</v>
      </c>
      <c r="G58" s="66">
        <v>0</v>
      </c>
      <c r="H58" s="65">
        <f t="shared" si="15"/>
        <v>-139000</v>
      </c>
      <c r="I58" s="65">
        <f t="shared" si="16"/>
        <v>1390619</v>
      </c>
      <c r="J58" s="65">
        <f t="shared" si="16"/>
        <v>0</v>
      </c>
      <c r="K58" s="65">
        <f t="shared" si="16"/>
        <v>1390619</v>
      </c>
    </row>
    <row r="59" spans="1:11" s="32" customFormat="1" ht="15" customHeight="1">
      <c r="A59" s="31" t="s">
        <v>58</v>
      </c>
      <c r="B59" s="32" t="s">
        <v>59</v>
      </c>
      <c r="C59" s="26">
        <v>1137017</v>
      </c>
      <c r="D59" s="26">
        <v>0</v>
      </c>
      <c r="E59" s="27">
        <f t="shared" si="14"/>
        <v>1137017</v>
      </c>
      <c r="F59" s="33">
        <f>-49371-882646+35000</f>
        <v>-897017</v>
      </c>
      <c r="G59" s="33">
        <v>0</v>
      </c>
      <c r="H59" s="27">
        <f t="shared" si="15"/>
        <v>-897017</v>
      </c>
      <c r="I59" s="27">
        <f t="shared" si="16"/>
        <v>240000</v>
      </c>
      <c r="J59" s="27">
        <f t="shared" si="16"/>
        <v>0</v>
      </c>
      <c r="K59" s="27">
        <f t="shared" si="16"/>
        <v>240000</v>
      </c>
    </row>
    <row r="60" spans="1:11" s="32" customFormat="1" ht="15" customHeight="1">
      <c r="A60" s="31" t="s">
        <v>117</v>
      </c>
      <c r="B60" s="32" t="s">
        <v>118</v>
      </c>
      <c r="C60" s="26">
        <v>364078</v>
      </c>
      <c r="D60" s="26">
        <v>0</v>
      </c>
      <c r="E60" s="27">
        <f t="shared" si="14"/>
        <v>364078</v>
      </c>
      <c r="F60" s="33">
        <v>-364078</v>
      </c>
      <c r="G60" s="33">
        <v>0</v>
      </c>
      <c r="H60" s="27">
        <f t="shared" si="15"/>
        <v>-364078</v>
      </c>
      <c r="I60" s="27">
        <f t="shared" si="16"/>
        <v>0</v>
      </c>
      <c r="J60" s="27">
        <f t="shared" si="16"/>
        <v>0</v>
      </c>
      <c r="K60" s="27">
        <f t="shared" si="16"/>
        <v>0</v>
      </c>
    </row>
    <row r="61" spans="1:11" s="36" customFormat="1" ht="15" customHeight="1">
      <c r="A61" s="3" t="s">
        <v>29</v>
      </c>
      <c r="B61" s="15" t="s">
        <v>30</v>
      </c>
      <c r="C61" s="16">
        <v>1928071</v>
      </c>
      <c r="D61" s="16">
        <v>3000</v>
      </c>
      <c r="E61" s="6">
        <f t="shared" si="14"/>
        <v>1931071</v>
      </c>
      <c r="F61" s="16">
        <f>F65+F71+F79+F74</f>
        <v>800</v>
      </c>
      <c r="G61" s="16">
        <v>0</v>
      </c>
      <c r="H61" s="6">
        <f t="shared" si="15"/>
        <v>800</v>
      </c>
      <c r="I61" s="6">
        <f>C61+F61</f>
        <v>1928871</v>
      </c>
      <c r="J61" s="6">
        <f>D61+G61</f>
        <v>3000</v>
      </c>
      <c r="K61" s="6">
        <f>E61+H61</f>
        <v>1931871</v>
      </c>
    </row>
    <row r="62" spans="1:11" s="34" customFormat="1" ht="15" customHeight="1">
      <c r="A62" s="14"/>
      <c r="B62" s="17" t="s">
        <v>10</v>
      </c>
      <c r="C62" s="18"/>
      <c r="D62" s="18"/>
      <c r="E62" s="9"/>
      <c r="F62" s="18"/>
      <c r="G62" s="18"/>
      <c r="H62" s="9"/>
      <c r="I62" s="9"/>
      <c r="J62" s="9"/>
      <c r="K62" s="9"/>
    </row>
    <row r="63" spans="1:11" s="37" customFormat="1" ht="15" customHeight="1">
      <c r="A63" s="19"/>
      <c r="B63" s="11" t="s">
        <v>164</v>
      </c>
      <c r="C63" s="21">
        <v>108000</v>
      </c>
      <c r="D63" s="21">
        <v>0</v>
      </c>
      <c r="E63" s="12">
        <f aca="true" t="shared" si="17" ref="E63:E73">SUM(C63:D63)</f>
        <v>108000</v>
      </c>
      <c r="F63" s="21">
        <f>F70+F82+F81+F78</f>
        <v>-28260</v>
      </c>
      <c r="G63" s="21">
        <v>0</v>
      </c>
      <c r="H63" s="12">
        <f aca="true" t="shared" si="18" ref="H63:H77">F63+G63</f>
        <v>-28260</v>
      </c>
      <c r="I63" s="12">
        <f>C63+F63</f>
        <v>79740</v>
      </c>
      <c r="J63" s="12">
        <f>D63+G63</f>
        <v>0</v>
      </c>
      <c r="K63" s="12">
        <f>E63+H63</f>
        <v>79740</v>
      </c>
    </row>
    <row r="64" spans="1:11" s="34" customFormat="1" ht="18.75" customHeight="1">
      <c r="A64" s="14"/>
      <c r="B64" s="17"/>
      <c r="C64" s="18"/>
      <c r="D64" s="18"/>
      <c r="E64" s="9"/>
      <c r="F64" s="18"/>
      <c r="G64" s="18"/>
      <c r="H64" s="9"/>
      <c r="I64" s="9"/>
      <c r="J64" s="9"/>
      <c r="K64" s="9"/>
    </row>
    <row r="65" spans="1:11" s="29" customFormat="1" ht="15" customHeight="1">
      <c r="A65" s="28">
        <v>75412</v>
      </c>
      <c r="B65" s="29" t="s">
        <v>112</v>
      </c>
      <c r="C65" s="23">
        <v>36000</v>
      </c>
      <c r="D65" s="23">
        <v>0</v>
      </c>
      <c r="E65" s="24">
        <f t="shared" si="17"/>
        <v>36000</v>
      </c>
      <c r="F65" s="30">
        <f>SUM(F66:F70)</f>
        <v>0</v>
      </c>
      <c r="G65" s="30">
        <v>0</v>
      </c>
      <c r="H65" s="24">
        <f t="shared" si="18"/>
        <v>0</v>
      </c>
      <c r="I65" s="24">
        <f aca="true" t="shared" si="19" ref="I65:I70">C65+F65</f>
        <v>36000</v>
      </c>
      <c r="J65" s="24">
        <f aca="true" t="shared" si="20" ref="J65:J70">D65+G65</f>
        <v>0</v>
      </c>
      <c r="K65" s="24">
        <f aca="true" t="shared" si="21" ref="K65:K70">E65+H65</f>
        <v>36000</v>
      </c>
    </row>
    <row r="66" spans="1:11" s="63" customFormat="1" ht="15" customHeight="1">
      <c r="A66" s="62" t="s">
        <v>33</v>
      </c>
      <c r="B66" s="63" t="s">
        <v>34</v>
      </c>
      <c r="C66" s="64">
        <v>10000</v>
      </c>
      <c r="D66" s="64">
        <v>0</v>
      </c>
      <c r="E66" s="65">
        <f t="shared" si="17"/>
        <v>10000</v>
      </c>
      <c r="F66" s="66">
        <v>11220</v>
      </c>
      <c r="G66" s="66">
        <v>0</v>
      </c>
      <c r="H66" s="65">
        <f t="shared" si="18"/>
        <v>11220</v>
      </c>
      <c r="I66" s="65">
        <f t="shared" si="19"/>
        <v>21220</v>
      </c>
      <c r="J66" s="65">
        <f t="shared" si="20"/>
        <v>0</v>
      </c>
      <c r="K66" s="65">
        <f t="shared" si="21"/>
        <v>21220</v>
      </c>
    </row>
    <row r="67" spans="1:11" s="63" customFormat="1" ht="15" customHeight="1">
      <c r="A67" s="62" t="s">
        <v>55</v>
      </c>
      <c r="B67" s="63" t="s">
        <v>56</v>
      </c>
      <c r="C67" s="64">
        <v>4000</v>
      </c>
      <c r="D67" s="64">
        <v>0</v>
      </c>
      <c r="E67" s="65">
        <f t="shared" si="17"/>
        <v>4000</v>
      </c>
      <c r="F67" s="66">
        <v>-1400</v>
      </c>
      <c r="G67" s="66">
        <v>0</v>
      </c>
      <c r="H67" s="65">
        <f t="shared" si="18"/>
        <v>-1400</v>
      </c>
      <c r="I67" s="65">
        <f t="shared" si="19"/>
        <v>2600</v>
      </c>
      <c r="J67" s="65">
        <f t="shared" si="20"/>
        <v>0</v>
      </c>
      <c r="K67" s="65">
        <f t="shared" si="21"/>
        <v>2600</v>
      </c>
    </row>
    <row r="68" spans="1:11" s="68" customFormat="1" ht="15" customHeight="1">
      <c r="A68" s="62" t="s">
        <v>47</v>
      </c>
      <c r="B68" s="63" t="s">
        <v>48</v>
      </c>
      <c r="C68" s="66">
        <v>12000</v>
      </c>
      <c r="D68" s="66">
        <v>0</v>
      </c>
      <c r="E68" s="65">
        <f t="shared" si="17"/>
        <v>12000</v>
      </c>
      <c r="F68" s="66">
        <v>-9600</v>
      </c>
      <c r="G68" s="66">
        <v>0</v>
      </c>
      <c r="H68" s="65">
        <f t="shared" si="18"/>
        <v>-9600</v>
      </c>
      <c r="I68" s="65">
        <f t="shared" si="19"/>
        <v>2400</v>
      </c>
      <c r="J68" s="65">
        <f t="shared" si="20"/>
        <v>0</v>
      </c>
      <c r="K68" s="65">
        <f t="shared" si="21"/>
        <v>2400</v>
      </c>
    </row>
    <row r="69" spans="1:11" s="68" customFormat="1" ht="15" customHeight="1">
      <c r="A69" s="62" t="s">
        <v>107</v>
      </c>
      <c r="B69" s="63" t="s">
        <v>108</v>
      </c>
      <c r="C69" s="66">
        <v>1508</v>
      </c>
      <c r="D69" s="66">
        <v>0</v>
      </c>
      <c r="E69" s="65">
        <f t="shared" si="17"/>
        <v>1508</v>
      </c>
      <c r="F69" s="66">
        <v>-960</v>
      </c>
      <c r="G69" s="66">
        <v>0</v>
      </c>
      <c r="H69" s="65">
        <f t="shared" si="18"/>
        <v>-960</v>
      </c>
      <c r="I69" s="65">
        <f t="shared" si="19"/>
        <v>548</v>
      </c>
      <c r="J69" s="65">
        <f t="shared" si="20"/>
        <v>0</v>
      </c>
      <c r="K69" s="65">
        <f t="shared" si="21"/>
        <v>548</v>
      </c>
    </row>
    <row r="70" spans="1:11" s="68" customFormat="1" ht="15" customHeight="1">
      <c r="A70" s="67" t="s">
        <v>113</v>
      </c>
      <c r="B70" s="68" t="s">
        <v>114</v>
      </c>
      <c r="C70" s="64">
        <v>8000</v>
      </c>
      <c r="D70" s="64">
        <v>0</v>
      </c>
      <c r="E70" s="65">
        <f t="shared" si="17"/>
        <v>8000</v>
      </c>
      <c r="F70" s="66">
        <v>740</v>
      </c>
      <c r="G70" s="66">
        <v>0</v>
      </c>
      <c r="H70" s="65">
        <f t="shared" si="18"/>
        <v>740</v>
      </c>
      <c r="I70" s="65">
        <f t="shared" si="19"/>
        <v>8740</v>
      </c>
      <c r="J70" s="65">
        <f t="shared" si="20"/>
        <v>0</v>
      </c>
      <c r="K70" s="65">
        <f t="shared" si="21"/>
        <v>8740</v>
      </c>
    </row>
    <row r="71" spans="1:11" s="29" customFormat="1" ht="15" customHeight="1">
      <c r="A71" s="28">
        <v>75414</v>
      </c>
      <c r="B71" s="29" t="s">
        <v>119</v>
      </c>
      <c r="C71" s="23">
        <v>37000</v>
      </c>
      <c r="D71" s="23">
        <v>3000</v>
      </c>
      <c r="E71" s="24">
        <f t="shared" si="17"/>
        <v>40000</v>
      </c>
      <c r="F71" s="30">
        <f>SUM(F72:F73)</f>
        <v>-2230</v>
      </c>
      <c r="G71" s="30">
        <v>0</v>
      </c>
      <c r="H71" s="24">
        <f t="shared" si="18"/>
        <v>-2230</v>
      </c>
      <c r="I71" s="24">
        <f aca="true" t="shared" si="22" ref="I71:K78">C71+F71</f>
        <v>34770</v>
      </c>
      <c r="J71" s="24">
        <f t="shared" si="22"/>
        <v>3000</v>
      </c>
      <c r="K71" s="24">
        <f t="shared" si="22"/>
        <v>37770</v>
      </c>
    </row>
    <row r="72" spans="1:11" s="63" customFormat="1" ht="15" customHeight="1">
      <c r="A72" s="62" t="s">
        <v>33</v>
      </c>
      <c r="B72" s="63" t="s">
        <v>34</v>
      </c>
      <c r="C72" s="64">
        <v>18350</v>
      </c>
      <c r="D72" s="64">
        <v>0</v>
      </c>
      <c r="E72" s="65">
        <f t="shared" si="17"/>
        <v>18350</v>
      </c>
      <c r="F72" s="66">
        <v>-4166</v>
      </c>
      <c r="G72" s="66">
        <v>0</v>
      </c>
      <c r="H72" s="65">
        <f t="shared" si="18"/>
        <v>-4166</v>
      </c>
      <c r="I72" s="65">
        <f t="shared" si="22"/>
        <v>14184</v>
      </c>
      <c r="J72" s="65">
        <f t="shared" si="22"/>
        <v>0</v>
      </c>
      <c r="K72" s="65">
        <f t="shared" si="22"/>
        <v>14184</v>
      </c>
    </row>
    <row r="73" spans="1:11" s="63" customFormat="1" ht="15" customHeight="1">
      <c r="A73" s="62" t="s">
        <v>47</v>
      </c>
      <c r="B73" s="63" t="s">
        <v>48</v>
      </c>
      <c r="C73" s="64">
        <v>12250</v>
      </c>
      <c r="D73" s="64">
        <v>3000</v>
      </c>
      <c r="E73" s="65">
        <f t="shared" si="17"/>
        <v>15250</v>
      </c>
      <c r="F73" s="66">
        <v>1936</v>
      </c>
      <c r="G73" s="66">
        <v>0</v>
      </c>
      <c r="H73" s="65">
        <f t="shared" si="18"/>
        <v>1936</v>
      </c>
      <c r="I73" s="65">
        <f t="shared" si="22"/>
        <v>14186</v>
      </c>
      <c r="J73" s="65">
        <f t="shared" si="22"/>
        <v>3000</v>
      </c>
      <c r="K73" s="65">
        <f t="shared" si="22"/>
        <v>17186</v>
      </c>
    </row>
    <row r="74" spans="1:11" s="29" customFormat="1" ht="15" customHeight="1">
      <c r="A74" s="28">
        <v>75416</v>
      </c>
      <c r="B74" s="29" t="s">
        <v>149</v>
      </c>
      <c r="C74" s="23">
        <v>1472006</v>
      </c>
      <c r="D74" s="23">
        <v>0</v>
      </c>
      <c r="E74" s="24">
        <f aca="true" t="shared" si="23" ref="E74:E83">SUM(C74:D74)</f>
        <v>1472006</v>
      </c>
      <c r="F74" s="30">
        <f>SUM(F75:F78)</f>
        <v>35800</v>
      </c>
      <c r="G74" s="30">
        <f>G77</f>
        <v>0</v>
      </c>
      <c r="H74" s="24">
        <f t="shared" si="18"/>
        <v>35800</v>
      </c>
      <c r="I74" s="24">
        <f t="shared" si="22"/>
        <v>1507806</v>
      </c>
      <c r="J74" s="24">
        <f t="shared" si="22"/>
        <v>0</v>
      </c>
      <c r="K74" s="24">
        <f t="shared" si="22"/>
        <v>1507806</v>
      </c>
    </row>
    <row r="75" spans="1:11" s="32" customFormat="1" ht="15" customHeight="1">
      <c r="A75" s="31" t="s">
        <v>125</v>
      </c>
      <c r="B75" s="32" t="s">
        <v>150</v>
      </c>
      <c r="C75" s="26">
        <v>5000</v>
      </c>
      <c r="D75" s="26">
        <v>0</v>
      </c>
      <c r="E75" s="27">
        <f t="shared" si="23"/>
        <v>5000</v>
      </c>
      <c r="F75" s="33">
        <v>5000</v>
      </c>
      <c r="G75" s="33">
        <v>0</v>
      </c>
      <c r="H75" s="27">
        <f t="shared" si="18"/>
        <v>5000</v>
      </c>
      <c r="I75" s="27">
        <f t="shared" si="22"/>
        <v>10000</v>
      </c>
      <c r="J75" s="27">
        <f t="shared" si="22"/>
        <v>0</v>
      </c>
      <c r="K75" s="27">
        <f t="shared" si="22"/>
        <v>10000</v>
      </c>
    </row>
    <row r="76" spans="1:11" s="32" customFormat="1" ht="15" customHeight="1">
      <c r="A76" s="31" t="s">
        <v>33</v>
      </c>
      <c r="B76" s="32" t="s">
        <v>34</v>
      </c>
      <c r="C76" s="26">
        <v>77000</v>
      </c>
      <c r="D76" s="26">
        <v>0</v>
      </c>
      <c r="E76" s="27">
        <f t="shared" si="23"/>
        <v>77000</v>
      </c>
      <c r="F76" s="33">
        <v>6800</v>
      </c>
      <c r="G76" s="33">
        <v>0</v>
      </c>
      <c r="H76" s="27">
        <f t="shared" si="18"/>
        <v>6800</v>
      </c>
      <c r="I76" s="27">
        <f>C76+F76</f>
        <v>83800</v>
      </c>
      <c r="J76" s="27">
        <f>D76+G76</f>
        <v>0</v>
      </c>
      <c r="K76" s="27">
        <f>E76+H76</f>
        <v>83800</v>
      </c>
    </row>
    <row r="77" spans="1:11" s="32" customFormat="1" ht="15" customHeight="1">
      <c r="A77" s="31" t="s">
        <v>47</v>
      </c>
      <c r="B77" s="32" t="s">
        <v>48</v>
      </c>
      <c r="C77" s="26">
        <v>52592</v>
      </c>
      <c r="D77" s="26">
        <v>0</v>
      </c>
      <c r="E77" s="27">
        <f t="shared" si="23"/>
        <v>52592</v>
      </c>
      <c r="F77" s="33">
        <v>18000</v>
      </c>
      <c r="G77" s="33">
        <v>0</v>
      </c>
      <c r="H77" s="27">
        <f t="shared" si="18"/>
        <v>18000</v>
      </c>
      <c r="I77" s="27">
        <f t="shared" si="22"/>
        <v>70592</v>
      </c>
      <c r="J77" s="27">
        <f t="shared" si="22"/>
        <v>0</v>
      </c>
      <c r="K77" s="27">
        <f t="shared" si="22"/>
        <v>70592</v>
      </c>
    </row>
    <row r="78" spans="1:11" s="68" customFormat="1" ht="15" customHeight="1">
      <c r="A78" s="67" t="s">
        <v>113</v>
      </c>
      <c r="B78" s="68" t="s">
        <v>114</v>
      </c>
      <c r="C78" s="64">
        <v>5000</v>
      </c>
      <c r="D78" s="64">
        <v>0</v>
      </c>
      <c r="E78" s="65">
        <f t="shared" si="23"/>
        <v>5000</v>
      </c>
      <c r="F78" s="66">
        <v>6000</v>
      </c>
      <c r="G78" s="66">
        <v>0</v>
      </c>
      <c r="H78" s="65">
        <f aca="true" t="shared" si="24" ref="H78:H83">F78+G78</f>
        <v>6000</v>
      </c>
      <c r="I78" s="65">
        <f t="shared" si="22"/>
        <v>11000</v>
      </c>
      <c r="J78" s="65">
        <f t="shared" si="22"/>
        <v>0</v>
      </c>
      <c r="K78" s="65">
        <f t="shared" si="22"/>
        <v>11000</v>
      </c>
    </row>
    <row r="79" spans="1:11" s="29" customFormat="1" ht="15" customHeight="1">
      <c r="A79" s="28">
        <v>75495</v>
      </c>
      <c r="B79" s="29" t="s">
        <v>31</v>
      </c>
      <c r="C79" s="23">
        <v>383065</v>
      </c>
      <c r="D79" s="23">
        <v>0</v>
      </c>
      <c r="E79" s="24">
        <f t="shared" si="23"/>
        <v>383065</v>
      </c>
      <c r="F79" s="30">
        <f>SUM(F80:F82)</f>
        <v>-32770</v>
      </c>
      <c r="G79" s="30">
        <f>SUM(G82:G82)</f>
        <v>0</v>
      </c>
      <c r="H79" s="24">
        <f t="shared" si="24"/>
        <v>-32770</v>
      </c>
      <c r="I79" s="24">
        <f aca="true" t="shared" si="25" ref="I79:K83">C79+F79</f>
        <v>350295</v>
      </c>
      <c r="J79" s="24">
        <f t="shared" si="25"/>
        <v>0</v>
      </c>
      <c r="K79" s="24">
        <f t="shared" si="25"/>
        <v>350295</v>
      </c>
    </row>
    <row r="80" spans="1:11" s="32" customFormat="1" ht="15" customHeight="1">
      <c r="A80" s="31" t="s">
        <v>47</v>
      </c>
      <c r="B80" s="32" t="s">
        <v>48</v>
      </c>
      <c r="C80" s="26">
        <v>192815</v>
      </c>
      <c r="D80" s="26">
        <v>0</v>
      </c>
      <c r="E80" s="27">
        <f t="shared" si="23"/>
        <v>192815</v>
      </c>
      <c r="F80" s="33">
        <v>2230</v>
      </c>
      <c r="G80" s="33">
        <v>0</v>
      </c>
      <c r="H80" s="27">
        <f t="shared" si="24"/>
        <v>2230</v>
      </c>
      <c r="I80" s="27">
        <f aca="true" t="shared" si="26" ref="I80:K81">C80+F80</f>
        <v>195045</v>
      </c>
      <c r="J80" s="27">
        <f t="shared" si="26"/>
        <v>0</v>
      </c>
      <c r="K80" s="27">
        <f t="shared" si="26"/>
        <v>195045</v>
      </c>
    </row>
    <row r="81" spans="1:11" s="32" customFormat="1" ht="15" customHeight="1">
      <c r="A81" s="31" t="s">
        <v>58</v>
      </c>
      <c r="B81" s="32" t="s">
        <v>59</v>
      </c>
      <c r="C81" s="26">
        <v>0</v>
      </c>
      <c r="D81" s="26">
        <v>0</v>
      </c>
      <c r="E81" s="27">
        <f>SUM(C81:D81)</f>
        <v>0</v>
      </c>
      <c r="F81" s="33">
        <v>10000</v>
      </c>
      <c r="G81" s="33">
        <v>0</v>
      </c>
      <c r="H81" s="27">
        <f t="shared" si="24"/>
        <v>10000</v>
      </c>
      <c r="I81" s="27">
        <f t="shared" si="26"/>
        <v>10000</v>
      </c>
      <c r="J81" s="27">
        <f t="shared" si="26"/>
        <v>0</v>
      </c>
      <c r="K81" s="27">
        <f t="shared" si="26"/>
        <v>10000</v>
      </c>
    </row>
    <row r="82" spans="1:11" s="32" customFormat="1" ht="15" customHeight="1">
      <c r="A82" s="31" t="s">
        <v>113</v>
      </c>
      <c r="B82" s="32" t="s">
        <v>139</v>
      </c>
      <c r="C82" s="26">
        <v>95000</v>
      </c>
      <c r="D82" s="26">
        <v>0</v>
      </c>
      <c r="E82" s="27">
        <f t="shared" si="23"/>
        <v>95000</v>
      </c>
      <c r="F82" s="33">
        <f>-65000+20000</f>
        <v>-45000</v>
      </c>
      <c r="G82" s="33">
        <v>0</v>
      </c>
      <c r="H82" s="27">
        <f t="shared" si="24"/>
        <v>-45000</v>
      </c>
      <c r="I82" s="27">
        <f t="shared" si="25"/>
        <v>50000</v>
      </c>
      <c r="J82" s="27">
        <f t="shared" si="25"/>
        <v>0</v>
      </c>
      <c r="K82" s="27">
        <f t="shared" si="25"/>
        <v>50000</v>
      </c>
    </row>
    <row r="83" spans="1:11" s="36" customFormat="1" ht="15" customHeight="1">
      <c r="A83" s="3" t="s">
        <v>18</v>
      </c>
      <c r="B83" s="15" t="s">
        <v>24</v>
      </c>
      <c r="C83" s="16">
        <v>884266</v>
      </c>
      <c r="D83" s="16">
        <v>0</v>
      </c>
      <c r="E83" s="6">
        <f t="shared" si="23"/>
        <v>884266</v>
      </c>
      <c r="F83" s="16">
        <f>F86</f>
        <v>-132924</v>
      </c>
      <c r="G83" s="16">
        <v>0</v>
      </c>
      <c r="H83" s="6">
        <f t="shared" si="24"/>
        <v>-132924</v>
      </c>
      <c r="I83" s="6">
        <f t="shared" si="25"/>
        <v>751342</v>
      </c>
      <c r="J83" s="6">
        <f t="shared" si="25"/>
        <v>0</v>
      </c>
      <c r="K83" s="6">
        <f t="shared" si="25"/>
        <v>751342</v>
      </c>
    </row>
    <row r="84" spans="1:11" s="34" customFormat="1" ht="12.75" customHeight="1">
      <c r="A84" s="14"/>
      <c r="B84" s="17" t="s">
        <v>10</v>
      </c>
      <c r="C84" s="18"/>
      <c r="D84" s="18"/>
      <c r="E84" s="9"/>
      <c r="F84" s="18"/>
      <c r="G84" s="18"/>
      <c r="H84" s="9"/>
      <c r="I84" s="9"/>
      <c r="J84" s="9"/>
      <c r="K84" s="9"/>
    </row>
    <row r="85" spans="1:11" s="37" customFormat="1" ht="15" customHeight="1">
      <c r="A85" s="19"/>
      <c r="B85" s="11" t="s">
        <v>164</v>
      </c>
      <c r="C85" s="21">
        <v>136229</v>
      </c>
      <c r="D85" s="21">
        <v>0</v>
      </c>
      <c r="E85" s="12">
        <f>SUM(C85:D85)</f>
        <v>136229</v>
      </c>
      <c r="F85" s="21">
        <f>F88</f>
        <v>-82924</v>
      </c>
      <c r="G85" s="21">
        <v>0</v>
      </c>
      <c r="H85" s="12">
        <f>F85+G85</f>
        <v>-82924</v>
      </c>
      <c r="I85" s="12">
        <f aca="true" t="shared" si="27" ref="I85:K89">C85+F85</f>
        <v>53305</v>
      </c>
      <c r="J85" s="12">
        <f t="shared" si="27"/>
        <v>0</v>
      </c>
      <c r="K85" s="12">
        <f t="shared" si="27"/>
        <v>53305</v>
      </c>
    </row>
    <row r="86" spans="1:11" s="29" customFormat="1" ht="15" customHeight="1">
      <c r="A86" s="28">
        <v>75818</v>
      </c>
      <c r="B86" s="29" t="s">
        <v>19</v>
      </c>
      <c r="C86" s="23">
        <v>842908</v>
      </c>
      <c r="D86" s="23">
        <v>0</v>
      </c>
      <c r="E86" s="24">
        <f>SUM(C86:D86)</f>
        <v>842908</v>
      </c>
      <c r="F86" s="30">
        <f>SUM(F87:F88)</f>
        <v>-132924</v>
      </c>
      <c r="G86" s="30">
        <v>0</v>
      </c>
      <c r="H86" s="24">
        <f>F86+G86</f>
        <v>-132924</v>
      </c>
      <c r="I86" s="24">
        <f t="shared" si="27"/>
        <v>709984</v>
      </c>
      <c r="J86" s="24">
        <f t="shared" si="27"/>
        <v>0</v>
      </c>
      <c r="K86" s="24">
        <f t="shared" si="27"/>
        <v>709984</v>
      </c>
    </row>
    <row r="87" spans="1:11" s="32" customFormat="1" ht="15" customHeight="1">
      <c r="A87" s="31" t="s">
        <v>20</v>
      </c>
      <c r="B87" s="32" t="s">
        <v>21</v>
      </c>
      <c r="C87" s="26">
        <v>397241</v>
      </c>
      <c r="D87" s="26">
        <v>0</v>
      </c>
      <c r="E87" s="27">
        <f>SUM(C87:D87)</f>
        <v>397241</v>
      </c>
      <c r="F87" s="33">
        <f>-20000-30000</f>
        <v>-50000</v>
      </c>
      <c r="G87" s="33">
        <v>0</v>
      </c>
      <c r="H87" s="27">
        <f>F87+G87</f>
        <v>-50000</v>
      </c>
      <c r="I87" s="27">
        <f t="shared" si="27"/>
        <v>347241</v>
      </c>
      <c r="J87" s="27">
        <f t="shared" si="27"/>
        <v>0</v>
      </c>
      <c r="K87" s="27">
        <f t="shared" si="27"/>
        <v>347241</v>
      </c>
    </row>
    <row r="88" spans="1:11" s="32" customFormat="1" ht="15" customHeight="1">
      <c r="A88" s="31" t="s">
        <v>89</v>
      </c>
      <c r="B88" s="32" t="s">
        <v>166</v>
      </c>
      <c r="C88" s="26">
        <v>136229</v>
      </c>
      <c r="D88" s="26">
        <v>0</v>
      </c>
      <c r="E88" s="27">
        <f>SUM(C88:D88)</f>
        <v>136229</v>
      </c>
      <c r="F88" s="33">
        <v>-82924</v>
      </c>
      <c r="G88" s="33">
        <v>0</v>
      </c>
      <c r="H88" s="27">
        <f>F88+G88</f>
        <v>-82924</v>
      </c>
      <c r="I88" s="27">
        <f>C88+F88</f>
        <v>53305</v>
      </c>
      <c r="J88" s="27">
        <f>D88+G88</f>
        <v>0</v>
      </c>
      <c r="K88" s="27">
        <f>E88+H88</f>
        <v>53305</v>
      </c>
    </row>
    <row r="89" spans="1:11" s="36" customFormat="1" ht="15" customHeight="1">
      <c r="A89" s="3" t="s">
        <v>62</v>
      </c>
      <c r="B89" s="15" t="s">
        <v>63</v>
      </c>
      <c r="C89" s="16">
        <v>41147641</v>
      </c>
      <c r="D89" s="16">
        <v>14144</v>
      </c>
      <c r="E89" s="6">
        <f>SUM(C89:D89)</f>
        <v>41161785</v>
      </c>
      <c r="F89" s="16">
        <f>F92+F105+F109+F120+F133+F139+F144</f>
        <v>-17795</v>
      </c>
      <c r="G89" s="16">
        <f>G92+G105+G109+G120+G133+G139+G144</f>
        <v>90000</v>
      </c>
      <c r="H89" s="6">
        <f>F89+G89</f>
        <v>72205</v>
      </c>
      <c r="I89" s="6">
        <f t="shared" si="27"/>
        <v>41129846</v>
      </c>
      <c r="J89" s="6">
        <f t="shared" si="27"/>
        <v>104144</v>
      </c>
      <c r="K89" s="6">
        <f t="shared" si="27"/>
        <v>41233990</v>
      </c>
    </row>
    <row r="90" spans="1:11" s="34" customFormat="1" ht="15" customHeight="1">
      <c r="A90" s="14"/>
      <c r="B90" s="17" t="s">
        <v>10</v>
      </c>
      <c r="C90" s="18"/>
      <c r="D90" s="18"/>
      <c r="E90" s="9"/>
      <c r="F90" s="18"/>
      <c r="G90" s="18"/>
      <c r="H90" s="9"/>
      <c r="I90" s="9"/>
      <c r="J90" s="9"/>
      <c r="K90" s="9"/>
    </row>
    <row r="91" spans="1:11" s="37" customFormat="1" ht="15" customHeight="1">
      <c r="A91" s="19"/>
      <c r="B91" s="11" t="s">
        <v>164</v>
      </c>
      <c r="C91" s="21">
        <v>1138419</v>
      </c>
      <c r="D91" s="21">
        <v>0</v>
      </c>
      <c r="E91" s="12">
        <f aca="true" t="shared" si="28" ref="E91:E103">SUM(C91:D91)</f>
        <v>1138419</v>
      </c>
      <c r="F91" s="21">
        <f>F131+F132</f>
        <v>-87000</v>
      </c>
      <c r="G91" s="21">
        <f>G131+G132</f>
        <v>90000</v>
      </c>
      <c r="H91" s="12">
        <f aca="true" t="shared" si="29" ref="H91:H103">F91+G91</f>
        <v>3000</v>
      </c>
      <c r="I91" s="12">
        <f aca="true" t="shared" si="30" ref="I91:I104">C91+F91</f>
        <v>1051419</v>
      </c>
      <c r="J91" s="12">
        <f aca="true" t="shared" si="31" ref="J91:J104">D91+G91</f>
        <v>90000</v>
      </c>
      <c r="K91" s="12">
        <f aca="true" t="shared" si="32" ref="K91:K104">E91+H91</f>
        <v>1141419</v>
      </c>
    </row>
    <row r="92" spans="1:11" s="29" customFormat="1" ht="15" customHeight="1">
      <c r="A92" s="28">
        <v>80101</v>
      </c>
      <c r="B92" s="29" t="s">
        <v>64</v>
      </c>
      <c r="C92" s="23">
        <v>16813437</v>
      </c>
      <c r="D92" s="23">
        <v>13944</v>
      </c>
      <c r="E92" s="24">
        <f t="shared" si="28"/>
        <v>16827381</v>
      </c>
      <c r="F92" s="30">
        <f>SUM(F93:F104)</f>
        <v>7099</v>
      </c>
      <c r="G92" s="30">
        <v>0</v>
      </c>
      <c r="H92" s="24">
        <f t="shared" si="29"/>
        <v>7099</v>
      </c>
      <c r="I92" s="24">
        <f t="shared" si="30"/>
        <v>16820536</v>
      </c>
      <c r="J92" s="24">
        <f t="shared" si="31"/>
        <v>13944</v>
      </c>
      <c r="K92" s="24">
        <f t="shared" si="32"/>
        <v>16834480</v>
      </c>
    </row>
    <row r="93" spans="1:11" s="63" customFormat="1" ht="15" customHeight="1">
      <c r="A93" s="62" t="s">
        <v>125</v>
      </c>
      <c r="B93" s="63" t="s">
        <v>126</v>
      </c>
      <c r="C93" s="64">
        <v>15200</v>
      </c>
      <c r="D93" s="64">
        <v>0</v>
      </c>
      <c r="E93" s="65">
        <f t="shared" si="28"/>
        <v>15200</v>
      </c>
      <c r="F93" s="66">
        <v>-1000</v>
      </c>
      <c r="G93" s="66">
        <v>0</v>
      </c>
      <c r="H93" s="65">
        <f t="shared" si="29"/>
        <v>-1000</v>
      </c>
      <c r="I93" s="65">
        <f t="shared" si="30"/>
        <v>14200</v>
      </c>
      <c r="J93" s="65">
        <f t="shared" si="31"/>
        <v>0</v>
      </c>
      <c r="K93" s="65">
        <f t="shared" si="32"/>
        <v>14200</v>
      </c>
    </row>
    <row r="94" spans="1:11" s="63" customFormat="1" ht="15" customHeight="1">
      <c r="A94" s="62" t="s">
        <v>68</v>
      </c>
      <c r="B94" s="63" t="s">
        <v>69</v>
      </c>
      <c r="C94" s="64">
        <v>10704460</v>
      </c>
      <c r="D94" s="64">
        <v>0</v>
      </c>
      <c r="E94" s="65">
        <f t="shared" si="28"/>
        <v>10704460</v>
      </c>
      <c r="F94" s="66">
        <f>3575-4000</f>
        <v>-425</v>
      </c>
      <c r="G94" s="66">
        <v>0</v>
      </c>
      <c r="H94" s="65">
        <f t="shared" si="29"/>
        <v>-425</v>
      </c>
      <c r="I94" s="65">
        <f>C94+F94</f>
        <v>10704035</v>
      </c>
      <c r="J94" s="65">
        <f>D94+G94</f>
        <v>0</v>
      </c>
      <c r="K94" s="65">
        <f>E94+H94</f>
        <v>10704035</v>
      </c>
    </row>
    <row r="95" spans="1:11" s="63" customFormat="1" ht="15" customHeight="1">
      <c r="A95" s="62" t="s">
        <v>53</v>
      </c>
      <c r="B95" s="63" t="s">
        <v>70</v>
      </c>
      <c r="C95" s="64">
        <v>776282</v>
      </c>
      <c r="D95" s="64">
        <v>0</v>
      </c>
      <c r="E95" s="65">
        <f t="shared" si="28"/>
        <v>776282</v>
      </c>
      <c r="F95" s="66">
        <v>0</v>
      </c>
      <c r="G95" s="66">
        <v>0</v>
      </c>
      <c r="H95" s="65">
        <f t="shared" si="29"/>
        <v>0</v>
      </c>
      <c r="I95" s="65">
        <f t="shared" si="30"/>
        <v>776282</v>
      </c>
      <c r="J95" s="65">
        <f t="shared" si="31"/>
        <v>0</v>
      </c>
      <c r="K95" s="65">
        <f t="shared" si="32"/>
        <v>776282</v>
      </c>
    </row>
    <row r="96" spans="1:11" s="73" customFormat="1" ht="15" customHeight="1">
      <c r="A96" s="58" t="s">
        <v>40</v>
      </c>
      <c r="B96" s="59" t="s">
        <v>54</v>
      </c>
      <c r="C96" s="60">
        <v>2002058</v>
      </c>
      <c r="D96" s="60">
        <v>0</v>
      </c>
      <c r="E96" s="61">
        <f t="shared" si="28"/>
        <v>2002058</v>
      </c>
      <c r="F96" s="60">
        <f>-3450+2708-723</f>
        <v>-1465</v>
      </c>
      <c r="G96" s="60">
        <v>0</v>
      </c>
      <c r="H96" s="61">
        <f t="shared" si="29"/>
        <v>-1465</v>
      </c>
      <c r="I96" s="61">
        <f t="shared" si="30"/>
        <v>2000593</v>
      </c>
      <c r="J96" s="61">
        <f t="shared" si="31"/>
        <v>0</v>
      </c>
      <c r="K96" s="61">
        <f t="shared" si="32"/>
        <v>2000593</v>
      </c>
    </row>
    <row r="97" spans="1:11" s="74" customFormat="1" ht="15" customHeight="1">
      <c r="A97" s="62" t="s">
        <v>42</v>
      </c>
      <c r="B97" s="63" t="s">
        <v>43</v>
      </c>
      <c r="C97" s="66">
        <v>262020</v>
      </c>
      <c r="D97" s="66">
        <v>0</v>
      </c>
      <c r="E97" s="65">
        <f t="shared" si="28"/>
        <v>262020</v>
      </c>
      <c r="F97" s="66">
        <f>-480+380-163</f>
        <v>-263</v>
      </c>
      <c r="G97" s="66">
        <v>0</v>
      </c>
      <c r="H97" s="65">
        <f t="shared" si="29"/>
        <v>-263</v>
      </c>
      <c r="I97" s="65">
        <f t="shared" si="30"/>
        <v>261757</v>
      </c>
      <c r="J97" s="65">
        <f t="shared" si="31"/>
        <v>0</v>
      </c>
      <c r="K97" s="65">
        <f t="shared" si="32"/>
        <v>261757</v>
      </c>
    </row>
    <row r="98" spans="1:11" s="68" customFormat="1" ht="15" customHeight="1">
      <c r="A98" s="62" t="s">
        <v>33</v>
      </c>
      <c r="B98" s="63" t="s">
        <v>34</v>
      </c>
      <c r="C98" s="66">
        <v>398395</v>
      </c>
      <c r="D98" s="66">
        <v>0</v>
      </c>
      <c r="E98" s="65">
        <f t="shared" si="28"/>
        <v>398395</v>
      </c>
      <c r="F98" s="66">
        <f>-4800+2000-2000+2913+4000</f>
        <v>2113</v>
      </c>
      <c r="G98" s="66">
        <v>0</v>
      </c>
      <c r="H98" s="65">
        <f t="shared" si="29"/>
        <v>2113</v>
      </c>
      <c r="I98" s="65">
        <f t="shared" si="30"/>
        <v>400508</v>
      </c>
      <c r="J98" s="65">
        <f t="shared" si="31"/>
        <v>0</v>
      </c>
      <c r="K98" s="65">
        <f t="shared" si="32"/>
        <v>400508</v>
      </c>
    </row>
    <row r="99" spans="1:11" s="74" customFormat="1" ht="15" customHeight="1">
      <c r="A99" s="62" t="s">
        <v>46</v>
      </c>
      <c r="B99" s="63" t="s">
        <v>71</v>
      </c>
      <c r="C99" s="66">
        <v>25837</v>
      </c>
      <c r="D99" s="66">
        <v>13944</v>
      </c>
      <c r="E99" s="65">
        <f t="shared" si="28"/>
        <v>39781</v>
      </c>
      <c r="F99" s="66">
        <f>-371</f>
        <v>-371</v>
      </c>
      <c r="G99" s="66">
        <v>0</v>
      </c>
      <c r="H99" s="65">
        <f t="shared" si="29"/>
        <v>-371</v>
      </c>
      <c r="I99" s="65">
        <f t="shared" si="30"/>
        <v>25466</v>
      </c>
      <c r="J99" s="65">
        <f t="shared" si="31"/>
        <v>13944</v>
      </c>
      <c r="K99" s="65">
        <f t="shared" si="32"/>
        <v>39410</v>
      </c>
    </row>
    <row r="100" spans="1:11" s="74" customFormat="1" ht="15" customHeight="1">
      <c r="A100" s="62" t="s">
        <v>72</v>
      </c>
      <c r="B100" s="63" t="s">
        <v>73</v>
      </c>
      <c r="C100" s="64">
        <v>768302</v>
      </c>
      <c r="D100" s="64">
        <v>0</v>
      </c>
      <c r="E100" s="65">
        <f t="shared" si="28"/>
        <v>768302</v>
      </c>
      <c r="F100" s="66">
        <f>1500-5557+3317-1810</f>
        <v>-2550</v>
      </c>
      <c r="G100" s="66">
        <v>0</v>
      </c>
      <c r="H100" s="65">
        <f t="shared" si="29"/>
        <v>-2550</v>
      </c>
      <c r="I100" s="65">
        <f t="shared" si="30"/>
        <v>765752</v>
      </c>
      <c r="J100" s="65">
        <f t="shared" si="31"/>
        <v>0</v>
      </c>
      <c r="K100" s="65">
        <f>E100+H100</f>
        <v>765752</v>
      </c>
    </row>
    <row r="101" spans="1:11" s="74" customFormat="1" ht="15" customHeight="1">
      <c r="A101" s="62" t="s">
        <v>55</v>
      </c>
      <c r="B101" s="63" t="s">
        <v>56</v>
      </c>
      <c r="C101" s="64">
        <v>450505</v>
      </c>
      <c r="D101" s="64">
        <v>0</v>
      </c>
      <c r="E101" s="65">
        <f t="shared" si="28"/>
        <v>450505</v>
      </c>
      <c r="F101" s="66">
        <f>-1000-817-4000</f>
        <v>-5817</v>
      </c>
      <c r="G101" s="66">
        <v>0</v>
      </c>
      <c r="H101" s="65">
        <f t="shared" si="29"/>
        <v>-5817</v>
      </c>
      <c r="I101" s="65">
        <f t="shared" si="30"/>
        <v>444688</v>
      </c>
      <c r="J101" s="65">
        <f t="shared" si="31"/>
        <v>0</v>
      </c>
      <c r="K101" s="65">
        <f>E101+H101</f>
        <v>444688</v>
      </c>
    </row>
    <row r="102" spans="1:11" s="68" customFormat="1" ht="15" customHeight="1">
      <c r="A102" s="62" t="s">
        <v>47</v>
      </c>
      <c r="B102" s="63" t="s">
        <v>48</v>
      </c>
      <c r="C102" s="66">
        <v>134547</v>
      </c>
      <c r="D102" s="66">
        <v>0</v>
      </c>
      <c r="E102" s="65">
        <f t="shared" si="28"/>
        <v>134547</v>
      </c>
      <c r="F102" s="66">
        <f>4300+2000+2575+5945</f>
        <v>14820</v>
      </c>
      <c r="G102" s="66">
        <v>0</v>
      </c>
      <c r="H102" s="65">
        <f t="shared" si="29"/>
        <v>14820</v>
      </c>
      <c r="I102" s="65">
        <f t="shared" si="30"/>
        <v>149367</v>
      </c>
      <c r="J102" s="65">
        <f t="shared" si="31"/>
        <v>0</v>
      </c>
      <c r="K102" s="65">
        <f t="shared" si="32"/>
        <v>149367</v>
      </c>
    </row>
    <row r="103" spans="1:11" s="68" customFormat="1" ht="15" customHeight="1">
      <c r="A103" s="67" t="s">
        <v>107</v>
      </c>
      <c r="B103" s="68" t="s">
        <v>129</v>
      </c>
      <c r="C103" s="64">
        <v>800</v>
      </c>
      <c r="D103" s="64">
        <v>0</v>
      </c>
      <c r="E103" s="65">
        <f t="shared" si="28"/>
        <v>800</v>
      </c>
      <c r="F103" s="66">
        <v>-500</v>
      </c>
      <c r="G103" s="66">
        <v>0</v>
      </c>
      <c r="H103" s="65">
        <f t="shared" si="29"/>
        <v>-500</v>
      </c>
      <c r="I103" s="65">
        <f t="shared" si="30"/>
        <v>300</v>
      </c>
      <c r="J103" s="65">
        <f t="shared" si="31"/>
        <v>0</v>
      </c>
      <c r="K103" s="65">
        <f t="shared" si="32"/>
        <v>300</v>
      </c>
    </row>
    <row r="104" spans="1:11" s="73" customFormat="1" ht="15" customHeight="1">
      <c r="A104" s="72" t="s">
        <v>52</v>
      </c>
      <c r="B104" s="73" t="s">
        <v>76</v>
      </c>
      <c r="C104" s="70">
        <v>910710</v>
      </c>
      <c r="D104" s="70">
        <v>0</v>
      </c>
      <c r="E104" s="61">
        <f aca="true" t="shared" si="33" ref="E104:E151">SUM(C104:D104)</f>
        <v>910710</v>
      </c>
      <c r="F104" s="60">
        <v>2557</v>
      </c>
      <c r="G104" s="60">
        <v>0</v>
      </c>
      <c r="H104" s="61">
        <f aca="true" t="shared" si="34" ref="H104:H151">F104+G104</f>
        <v>2557</v>
      </c>
      <c r="I104" s="61">
        <f t="shared" si="30"/>
        <v>913267</v>
      </c>
      <c r="J104" s="61">
        <f t="shared" si="31"/>
        <v>0</v>
      </c>
      <c r="K104" s="61">
        <f t="shared" si="32"/>
        <v>913267</v>
      </c>
    </row>
    <row r="105" spans="1:11" s="77" customFormat="1" ht="15" customHeight="1">
      <c r="A105" s="53">
        <v>80103</v>
      </c>
      <c r="B105" s="54" t="s">
        <v>85</v>
      </c>
      <c r="C105" s="57">
        <v>336834</v>
      </c>
      <c r="D105" s="57">
        <v>0</v>
      </c>
      <c r="E105" s="56">
        <f t="shared" si="33"/>
        <v>336834</v>
      </c>
      <c r="F105" s="57">
        <f>SUM(F106:F108)</f>
        <v>-410</v>
      </c>
      <c r="G105" s="57">
        <v>0</v>
      </c>
      <c r="H105" s="56">
        <f t="shared" si="34"/>
        <v>-410</v>
      </c>
      <c r="I105" s="56">
        <f aca="true" t="shared" si="35" ref="I105:I138">C105+F105</f>
        <v>336424</v>
      </c>
      <c r="J105" s="56">
        <f aca="true" t="shared" si="36" ref="J105:J138">D105+G105</f>
        <v>0</v>
      </c>
      <c r="K105" s="56">
        <f>SUM(E105+H105)</f>
        <v>336424</v>
      </c>
    </row>
    <row r="106" spans="1:11" s="63" customFormat="1" ht="15" customHeight="1">
      <c r="A106" s="62" t="s">
        <v>68</v>
      </c>
      <c r="B106" s="63" t="s">
        <v>69</v>
      </c>
      <c r="C106" s="64">
        <v>281350</v>
      </c>
      <c r="D106" s="64">
        <v>0</v>
      </c>
      <c r="E106" s="65">
        <f t="shared" si="33"/>
        <v>281350</v>
      </c>
      <c r="F106" s="66">
        <f>740-1000+590</f>
        <v>330</v>
      </c>
      <c r="G106" s="66">
        <v>0</v>
      </c>
      <c r="H106" s="65">
        <f t="shared" si="34"/>
        <v>330</v>
      </c>
      <c r="I106" s="65">
        <f t="shared" si="35"/>
        <v>281680</v>
      </c>
      <c r="J106" s="65">
        <f t="shared" si="36"/>
        <v>0</v>
      </c>
      <c r="K106" s="65">
        <f>E106+H106</f>
        <v>281680</v>
      </c>
    </row>
    <row r="107" spans="1:11" s="74" customFormat="1" ht="15" customHeight="1">
      <c r="A107" s="62" t="s">
        <v>40</v>
      </c>
      <c r="B107" s="63" t="s">
        <v>54</v>
      </c>
      <c r="C107" s="66">
        <v>48549</v>
      </c>
      <c r="D107" s="66">
        <v>0</v>
      </c>
      <c r="E107" s="65">
        <f t="shared" si="33"/>
        <v>48549</v>
      </c>
      <c r="F107" s="66">
        <f>-650+1000-1000</f>
        <v>-650</v>
      </c>
      <c r="G107" s="66">
        <v>0</v>
      </c>
      <c r="H107" s="65">
        <f t="shared" si="34"/>
        <v>-650</v>
      </c>
      <c r="I107" s="65">
        <f t="shared" si="35"/>
        <v>47899</v>
      </c>
      <c r="J107" s="65">
        <f t="shared" si="36"/>
        <v>0</v>
      </c>
      <c r="K107" s="65">
        <f>E107+H107</f>
        <v>47899</v>
      </c>
    </row>
    <row r="108" spans="1:11" s="76" customFormat="1" ht="15" customHeight="1">
      <c r="A108" s="58" t="s">
        <v>42</v>
      </c>
      <c r="B108" s="59" t="s">
        <v>43</v>
      </c>
      <c r="C108" s="60">
        <v>6935</v>
      </c>
      <c r="D108" s="60">
        <v>0</v>
      </c>
      <c r="E108" s="61">
        <f t="shared" si="33"/>
        <v>6935</v>
      </c>
      <c r="F108" s="60">
        <v>-90</v>
      </c>
      <c r="G108" s="60">
        <v>0</v>
      </c>
      <c r="H108" s="61">
        <f t="shared" si="34"/>
        <v>-90</v>
      </c>
      <c r="I108" s="61">
        <f t="shared" si="35"/>
        <v>6845</v>
      </c>
      <c r="J108" s="61">
        <f t="shared" si="36"/>
        <v>0</v>
      </c>
      <c r="K108" s="61">
        <f>E108+H108</f>
        <v>6845</v>
      </c>
    </row>
    <row r="109" spans="1:11" s="45" customFormat="1" ht="15" customHeight="1">
      <c r="A109" s="62">
        <v>80104</v>
      </c>
      <c r="B109" s="63" t="s">
        <v>74</v>
      </c>
      <c r="C109" s="66">
        <v>8662492</v>
      </c>
      <c r="D109" s="66">
        <v>0</v>
      </c>
      <c r="E109" s="65">
        <f t="shared" si="33"/>
        <v>8662492</v>
      </c>
      <c r="F109" s="66">
        <f>SUM(F110:F119)</f>
        <v>23469</v>
      </c>
      <c r="G109" s="66">
        <v>0</v>
      </c>
      <c r="H109" s="65">
        <f t="shared" si="34"/>
        <v>23469</v>
      </c>
      <c r="I109" s="65">
        <f t="shared" si="35"/>
        <v>8685961</v>
      </c>
      <c r="J109" s="65">
        <f t="shared" si="36"/>
        <v>0</v>
      </c>
      <c r="K109" s="65">
        <f>SUM(E109+H109)</f>
        <v>8685961</v>
      </c>
    </row>
    <row r="110" spans="1:11" s="63" customFormat="1" ht="15" customHeight="1">
      <c r="A110" s="62" t="s">
        <v>68</v>
      </c>
      <c r="B110" s="63" t="s">
        <v>69</v>
      </c>
      <c r="C110" s="64">
        <v>4600784</v>
      </c>
      <c r="D110" s="64">
        <v>0</v>
      </c>
      <c r="E110" s="65">
        <f t="shared" si="33"/>
        <v>4600784</v>
      </c>
      <c r="F110" s="66">
        <f>5000-3400+3500-2000+2910-9500+7300-7000</f>
        <v>-3190</v>
      </c>
      <c r="G110" s="66">
        <v>0</v>
      </c>
      <c r="H110" s="65">
        <f t="shared" si="34"/>
        <v>-3190</v>
      </c>
      <c r="I110" s="65">
        <f t="shared" si="35"/>
        <v>4597594</v>
      </c>
      <c r="J110" s="65">
        <f t="shared" si="36"/>
        <v>0</v>
      </c>
      <c r="K110" s="65">
        <f aca="true" t="shared" si="37" ref="K110:K119">E110+H110</f>
        <v>4597594</v>
      </c>
    </row>
    <row r="111" spans="1:11" s="45" customFormat="1" ht="15" customHeight="1">
      <c r="A111" s="62" t="s">
        <v>40</v>
      </c>
      <c r="B111" s="63" t="s">
        <v>54</v>
      </c>
      <c r="C111" s="66">
        <v>822111</v>
      </c>
      <c r="D111" s="66">
        <v>0</v>
      </c>
      <c r="E111" s="65">
        <f t="shared" si="33"/>
        <v>822111</v>
      </c>
      <c r="F111" s="66">
        <f>4600+4000+5500+4500+7900+3000+4500+2000+5000+3000+7000-1260</f>
        <v>49740</v>
      </c>
      <c r="G111" s="66">
        <v>0</v>
      </c>
      <c r="H111" s="65">
        <f t="shared" si="34"/>
        <v>49740</v>
      </c>
      <c r="I111" s="65">
        <f t="shared" si="35"/>
        <v>871851</v>
      </c>
      <c r="J111" s="65">
        <f t="shared" si="36"/>
        <v>0</v>
      </c>
      <c r="K111" s="65">
        <f t="shared" si="37"/>
        <v>871851</v>
      </c>
    </row>
    <row r="112" spans="1:11" s="45" customFormat="1" ht="15" customHeight="1">
      <c r="A112" s="62" t="s">
        <v>42</v>
      </c>
      <c r="B112" s="63" t="s">
        <v>43</v>
      </c>
      <c r="C112" s="66">
        <v>117178</v>
      </c>
      <c r="D112" s="66">
        <v>0</v>
      </c>
      <c r="E112" s="65">
        <f t="shared" si="33"/>
        <v>117178</v>
      </c>
      <c r="F112" s="66">
        <f>500+600+1500+400+1000+2500-181</f>
        <v>6319</v>
      </c>
      <c r="G112" s="66">
        <v>0</v>
      </c>
      <c r="H112" s="65">
        <f t="shared" si="34"/>
        <v>6319</v>
      </c>
      <c r="I112" s="65">
        <f t="shared" si="35"/>
        <v>123497</v>
      </c>
      <c r="J112" s="65">
        <f t="shared" si="36"/>
        <v>0</v>
      </c>
      <c r="K112" s="65">
        <f t="shared" si="37"/>
        <v>123497</v>
      </c>
    </row>
    <row r="113" spans="1:11" s="74" customFormat="1" ht="15" customHeight="1">
      <c r="A113" s="62" t="s">
        <v>44</v>
      </c>
      <c r="B113" s="63" t="s">
        <v>127</v>
      </c>
      <c r="C113" s="66">
        <v>0</v>
      </c>
      <c r="D113" s="66">
        <v>0</v>
      </c>
      <c r="E113" s="65">
        <f>SUM(C113:D113)</f>
        <v>0</v>
      </c>
      <c r="F113" s="66">
        <f>500+1600+1100</f>
        <v>3200</v>
      </c>
      <c r="G113" s="66">
        <v>0</v>
      </c>
      <c r="H113" s="65">
        <f>F113+G113</f>
        <v>3200</v>
      </c>
      <c r="I113" s="65">
        <f>C113+F113</f>
        <v>3200</v>
      </c>
      <c r="J113" s="65">
        <f>D113+G113</f>
        <v>0</v>
      </c>
      <c r="K113" s="65">
        <f>E113+H113</f>
        <v>3200</v>
      </c>
    </row>
    <row r="114" spans="1:11" s="45" customFormat="1" ht="15" customHeight="1">
      <c r="A114" s="62" t="s">
        <v>33</v>
      </c>
      <c r="B114" s="63" t="s">
        <v>34</v>
      </c>
      <c r="C114" s="66">
        <v>257229</v>
      </c>
      <c r="D114" s="66">
        <v>0</v>
      </c>
      <c r="E114" s="65">
        <f t="shared" si="33"/>
        <v>257229</v>
      </c>
      <c r="F114" s="66">
        <f>2000+6000+3000+6500+2000+6000+5000+5000</f>
        <v>35500</v>
      </c>
      <c r="G114" s="66">
        <v>0</v>
      </c>
      <c r="H114" s="65">
        <f t="shared" si="34"/>
        <v>35500</v>
      </c>
      <c r="I114" s="65">
        <f t="shared" si="35"/>
        <v>292729</v>
      </c>
      <c r="J114" s="65">
        <f t="shared" si="36"/>
        <v>0</v>
      </c>
      <c r="K114" s="65">
        <f t="shared" si="37"/>
        <v>292729</v>
      </c>
    </row>
    <row r="115" spans="1:11" s="45" customFormat="1" ht="15" customHeight="1">
      <c r="A115" s="62" t="s">
        <v>50</v>
      </c>
      <c r="B115" s="63" t="s">
        <v>51</v>
      </c>
      <c r="C115" s="66">
        <v>768100</v>
      </c>
      <c r="D115" s="66">
        <v>0</v>
      </c>
      <c r="E115" s="65">
        <f>SUM(C115:D115)</f>
        <v>768100</v>
      </c>
      <c r="F115" s="66">
        <f>-10200-4000-5000</f>
        <v>-19200</v>
      </c>
      <c r="G115" s="66">
        <v>0</v>
      </c>
      <c r="H115" s="65">
        <f>F115+G115</f>
        <v>-19200</v>
      </c>
      <c r="I115" s="65">
        <f>C115+F115</f>
        <v>748900</v>
      </c>
      <c r="J115" s="65">
        <f>D115+G115</f>
        <v>0</v>
      </c>
      <c r="K115" s="65">
        <f>E115+H115</f>
        <v>748900</v>
      </c>
    </row>
    <row r="116" spans="1:11" s="45" customFormat="1" ht="15" customHeight="1">
      <c r="A116" s="62" t="s">
        <v>46</v>
      </c>
      <c r="B116" s="63" t="s">
        <v>71</v>
      </c>
      <c r="C116" s="66">
        <v>64190</v>
      </c>
      <c r="D116" s="66">
        <v>0</v>
      </c>
      <c r="E116" s="65">
        <f t="shared" si="33"/>
        <v>64190</v>
      </c>
      <c r="F116" s="66">
        <f>1900-500-1000-1000-5000-5000</f>
        <v>-10600</v>
      </c>
      <c r="G116" s="66">
        <v>0</v>
      </c>
      <c r="H116" s="65">
        <f t="shared" si="34"/>
        <v>-10600</v>
      </c>
      <c r="I116" s="65">
        <f t="shared" si="35"/>
        <v>53590</v>
      </c>
      <c r="J116" s="65">
        <f t="shared" si="36"/>
        <v>0</v>
      </c>
      <c r="K116" s="65">
        <f t="shared" si="37"/>
        <v>53590</v>
      </c>
    </row>
    <row r="117" spans="1:11" s="74" customFormat="1" ht="15" customHeight="1">
      <c r="A117" s="62" t="s">
        <v>72</v>
      </c>
      <c r="B117" s="63" t="s">
        <v>73</v>
      </c>
      <c r="C117" s="64">
        <v>487300</v>
      </c>
      <c r="D117" s="64">
        <v>0</v>
      </c>
      <c r="E117" s="65">
        <f>SUM(C117:D117)</f>
        <v>487300</v>
      </c>
      <c r="F117" s="66">
        <f>-2500-5000-3000-3100+1000-4300</f>
        <v>-16900</v>
      </c>
      <c r="G117" s="66">
        <v>0</v>
      </c>
      <c r="H117" s="65">
        <f>F117+G117</f>
        <v>-16900</v>
      </c>
      <c r="I117" s="65">
        <f t="shared" si="35"/>
        <v>470400</v>
      </c>
      <c r="J117" s="65">
        <f t="shared" si="36"/>
        <v>0</v>
      </c>
      <c r="K117" s="65">
        <f>E117+H117</f>
        <v>470400</v>
      </c>
    </row>
    <row r="118" spans="1:11" s="74" customFormat="1" ht="15" customHeight="1">
      <c r="A118" s="62" t="s">
        <v>55</v>
      </c>
      <c r="B118" s="63" t="s">
        <v>56</v>
      </c>
      <c r="C118" s="64">
        <v>190400</v>
      </c>
      <c r="D118" s="64">
        <v>0</v>
      </c>
      <c r="E118" s="65">
        <f>SUM(C118:D118)</f>
        <v>190400</v>
      </c>
      <c r="F118" s="66">
        <f>-5900-3000</f>
        <v>-8900</v>
      </c>
      <c r="G118" s="66">
        <v>0</v>
      </c>
      <c r="H118" s="65">
        <f>F118+G118</f>
        <v>-8900</v>
      </c>
      <c r="I118" s="65">
        <f t="shared" si="35"/>
        <v>181500</v>
      </c>
      <c r="J118" s="65">
        <f t="shared" si="36"/>
        <v>0</v>
      </c>
      <c r="K118" s="65">
        <f>E118+H118</f>
        <v>181500</v>
      </c>
    </row>
    <row r="119" spans="1:11" s="76" customFormat="1" ht="15" customHeight="1">
      <c r="A119" s="58" t="s">
        <v>47</v>
      </c>
      <c r="B119" s="59" t="s">
        <v>48</v>
      </c>
      <c r="C119" s="60">
        <v>144050</v>
      </c>
      <c r="D119" s="60">
        <v>0</v>
      </c>
      <c r="E119" s="61">
        <f t="shared" si="33"/>
        <v>144050</v>
      </c>
      <c r="F119" s="60">
        <f>1000-4000+1500+1000-3000-5000-2000-2000+1000-1000</f>
        <v>-12500</v>
      </c>
      <c r="G119" s="60">
        <v>0</v>
      </c>
      <c r="H119" s="61">
        <f t="shared" si="34"/>
        <v>-12500</v>
      </c>
      <c r="I119" s="61">
        <f t="shared" si="35"/>
        <v>131550</v>
      </c>
      <c r="J119" s="61">
        <f t="shared" si="36"/>
        <v>0</v>
      </c>
      <c r="K119" s="61">
        <f t="shared" si="37"/>
        <v>131550</v>
      </c>
    </row>
    <row r="120" spans="1:11" s="77" customFormat="1" ht="15" customHeight="1">
      <c r="A120" s="53">
        <v>80110</v>
      </c>
      <c r="B120" s="54" t="s">
        <v>75</v>
      </c>
      <c r="C120" s="57">
        <v>14000700</v>
      </c>
      <c r="D120" s="57">
        <v>0</v>
      </c>
      <c r="E120" s="56">
        <f t="shared" si="33"/>
        <v>14000700</v>
      </c>
      <c r="F120" s="57">
        <f>SUM(F121:F132)</f>
        <v>-78733</v>
      </c>
      <c r="G120" s="57">
        <f>SUM(G121:G132)</f>
        <v>90000</v>
      </c>
      <c r="H120" s="56">
        <f t="shared" si="34"/>
        <v>11267</v>
      </c>
      <c r="I120" s="56">
        <f t="shared" si="35"/>
        <v>13921967</v>
      </c>
      <c r="J120" s="56">
        <f t="shared" si="36"/>
        <v>90000</v>
      </c>
      <c r="K120" s="56">
        <f>SUM(E120+H120)</f>
        <v>14011967</v>
      </c>
    </row>
    <row r="121" spans="1:11" s="63" customFormat="1" ht="15" customHeight="1">
      <c r="A121" s="62" t="s">
        <v>68</v>
      </c>
      <c r="B121" s="63" t="s">
        <v>69</v>
      </c>
      <c r="C121" s="64">
        <v>8258959</v>
      </c>
      <c r="D121" s="64">
        <v>0</v>
      </c>
      <c r="E121" s="65">
        <f>SUM(C121:D121)</f>
        <v>8258959</v>
      </c>
      <c r="F121" s="66">
        <f>1000-7000</f>
        <v>-6000</v>
      </c>
      <c r="G121" s="66">
        <v>0</v>
      </c>
      <c r="H121" s="65">
        <f>F121+G121</f>
        <v>-6000</v>
      </c>
      <c r="I121" s="65">
        <f aca="true" t="shared" si="38" ref="I121:K124">C121+F121</f>
        <v>8252959</v>
      </c>
      <c r="J121" s="65">
        <f t="shared" si="38"/>
        <v>0</v>
      </c>
      <c r="K121" s="65">
        <f t="shared" si="38"/>
        <v>8252959</v>
      </c>
    </row>
    <row r="122" spans="1:11" s="74" customFormat="1" ht="15" customHeight="1">
      <c r="A122" s="62" t="s">
        <v>40</v>
      </c>
      <c r="B122" s="63" t="s">
        <v>54</v>
      </c>
      <c r="C122" s="66">
        <v>1570100</v>
      </c>
      <c r="D122" s="66">
        <v>0</v>
      </c>
      <c r="E122" s="65">
        <f>SUM(C122:D122)</f>
        <v>1570100</v>
      </c>
      <c r="F122" s="66">
        <f>860-3166</f>
        <v>-2306</v>
      </c>
      <c r="G122" s="66">
        <v>0</v>
      </c>
      <c r="H122" s="65">
        <f>F122+G122</f>
        <v>-2306</v>
      </c>
      <c r="I122" s="65">
        <f t="shared" si="38"/>
        <v>1567794</v>
      </c>
      <c r="J122" s="65">
        <f t="shared" si="38"/>
        <v>0</v>
      </c>
      <c r="K122" s="65">
        <f t="shared" si="38"/>
        <v>1567794</v>
      </c>
    </row>
    <row r="123" spans="1:11" s="74" customFormat="1" ht="15" customHeight="1">
      <c r="A123" s="62" t="s">
        <v>42</v>
      </c>
      <c r="B123" s="63" t="s">
        <v>43</v>
      </c>
      <c r="C123" s="66">
        <v>208600</v>
      </c>
      <c r="D123" s="66">
        <v>0</v>
      </c>
      <c r="E123" s="65">
        <f>SUM(C123:D123)</f>
        <v>208600</v>
      </c>
      <c r="F123" s="66">
        <f>130-181</f>
        <v>-51</v>
      </c>
      <c r="G123" s="66">
        <v>0</v>
      </c>
      <c r="H123" s="65">
        <f>F123+G123</f>
        <v>-51</v>
      </c>
      <c r="I123" s="65">
        <f t="shared" si="38"/>
        <v>208549</v>
      </c>
      <c r="J123" s="65">
        <f t="shared" si="38"/>
        <v>0</v>
      </c>
      <c r="K123" s="65">
        <f t="shared" si="38"/>
        <v>208549</v>
      </c>
    </row>
    <row r="124" spans="1:11" s="74" customFormat="1" ht="15" customHeight="1">
      <c r="A124" s="62" t="s">
        <v>44</v>
      </c>
      <c r="B124" s="63" t="s">
        <v>127</v>
      </c>
      <c r="C124" s="66">
        <v>2500</v>
      </c>
      <c r="D124" s="66">
        <v>0</v>
      </c>
      <c r="E124" s="65">
        <f>SUM(C124:D124)</f>
        <v>2500</v>
      </c>
      <c r="F124" s="66">
        <v>4980</v>
      </c>
      <c r="G124" s="66">
        <v>0</v>
      </c>
      <c r="H124" s="65">
        <f>F124+G124</f>
        <v>4980</v>
      </c>
      <c r="I124" s="65">
        <f t="shared" si="38"/>
        <v>7480</v>
      </c>
      <c r="J124" s="65">
        <f t="shared" si="38"/>
        <v>0</v>
      </c>
      <c r="K124" s="65">
        <f t="shared" si="38"/>
        <v>7480</v>
      </c>
    </row>
    <row r="125" spans="1:11" s="74" customFormat="1" ht="15" customHeight="1">
      <c r="A125" s="62" t="s">
        <v>33</v>
      </c>
      <c r="B125" s="63" t="s">
        <v>34</v>
      </c>
      <c r="C125" s="66">
        <v>308935</v>
      </c>
      <c r="D125" s="66">
        <v>0</v>
      </c>
      <c r="E125" s="65">
        <f aca="true" t="shared" si="39" ref="E125:E132">SUM(C125:D125)</f>
        <v>308935</v>
      </c>
      <c r="F125" s="66">
        <f>1614+6000+6269</f>
        <v>13883</v>
      </c>
      <c r="G125" s="66">
        <v>0</v>
      </c>
      <c r="H125" s="65">
        <f aca="true" t="shared" si="40" ref="H125:H132">F125+G125</f>
        <v>13883</v>
      </c>
      <c r="I125" s="65">
        <f aca="true" t="shared" si="41" ref="I125:I132">C125+F125</f>
        <v>322818</v>
      </c>
      <c r="J125" s="65">
        <f aca="true" t="shared" si="42" ref="J125:J132">D125+G125</f>
        <v>0</v>
      </c>
      <c r="K125" s="65">
        <f aca="true" t="shared" si="43" ref="K125:K132">E125+H125</f>
        <v>322818</v>
      </c>
    </row>
    <row r="126" spans="1:11" s="74" customFormat="1" ht="15" customHeight="1">
      <c r="A126" s="62" t="s">
        <v>46</v>
      </c>
      <c r="B126" s="63" t="s">
        <v>71</v>
      </c>
      <c r="C126" s="66">
        <v>31000</v>
      </c>
      <c r="D126" s="66">
        <v>0</v>
      </c>
      <c r="E126" s="65">
        <f t="shared" si="39"/>
        <v>31000</v>
      </c>
      <c r="F126" s="66">
        <f>5200</f>
        <v>5200</v>
      </c>
      <c r="G126" s="66">
        <v>0</v>
      </c>
      <c r="H126" s="65">
        <f t="shared" si="40"/>
        <v>5200</v>
      </c>
      <c r="I126" s="65">
        <f t="shared" si="41"/>
        <v>36200</v>
      </c>
      <c r="J126" s="65">
        <f t="shared" si="42"/>
        <v>0</v>
      </c>
      <c r="K126" s="65">
        <f t="shared" si="43"/>
        <v>36200</v>
      </c>
    </row>
    <row r="127" spans="1:11" s="76" customFormat="1" ht="15" customHeight="1">
      <c r="A127" s="58" t="s">
        <v>72</v>
      </c>
      <c r="B127" s="59" t="s">
        <v>73</v>
      </c>
      <c r="C127" s="70">
        <v>690671</v>
      </c>
      <c r="D127" s="70">
        <v>0</v>
      </c>
      <c r="E127" s="61">
        <f>SUM(C127:D127)</f>
        <v>690671</v>
      </c>
      <c r="F127" s="60">
        <f>-5000</f>
        <v>-5000</v>
      </c>
      <c r="G127" s="60">
        <v>0</v>
      </c>
      <c r="H127" s="61">
        <f>F127+G127</f>
        <v>-5000</v>
      </c>
      <c r="I127" s="61">
        <f t="shared" si="41"/>
        <v>685671</v>
      </c>
      <c r="J127" s="61">
        <f t="shared" si="42"/>
        <v>0</v>
      </c>
      <c r="K127" s="61">
        <f>E127+H127</f>
        <v>685671</v>
      </c>
    </row>
    <row r="128" spans="1:11" s="74" customFormat="1" ht="15" customHeight="1">
      <c r="A128" s="62" t="s">
        <v>55</v>
      </c>
      <c r="B128" s="63" t="s">
        <v>56</v>
      </c>
      <c r="C128" s="64">
        <v>232676</v>
      </c>
      <c r="D128" s="64">
        <v>0</v>
      </c>
      <c r="E128" s="65">
        <f>SUM(C128:D128)</f>
        <v>232676</v>
      </c>
      <c r="F128" s="66">
        <f>-5000</f>
        <v>-5000</v>
      </c>
      <c r="G128" s="66">
        <v>0</v>
      </c>
      <c r="H128" s="65">
        <f>F128+G128</f>
        <v>-5000</v>
      </c>
      <c r="I128" s="65">
        <f t="shared" si="41"/>
        <v>227676</v>
      </c>
      <c r="J128" s="65">
        <f t="shared" si="42"/>
        <v>0</v>
      </c>
      <c r="K128" s="65">
        <f>E128+H128</f>
        <v>227676</v>
      </c>
    </row>
    <row r="129" spans="1:11" s="74" customFormat="1" ht="15" customHeight="1">
      <c r="A129" s="62" t="s">
        <v>47</v>
      </c>
      <c r="B129" s="63" t="s">
        <v>48</v>
      </c>
      <c r="C129" s="66">
        <v>132852</v>
      </c>
      <c r="D129" s="66">
        <v>0</v>
      </c>
      <c r="E129" s="65">
        <f t="shared" si="39"/>
        <v>132852</v>
      </c>
      <c r="F129" s="66">
        <f>5800+5000-7239</f>
        <v>3561</v>
      </c>
      <c r="G129" s="66">
        <v>0</v>
      </c>
      <c r="H129" s="65">
        <f t="shared" si="40"/>
        <v>3561</v>
      </c>
      <c r="I129" s="65">
        <f t="shared" si="41"/>
        <v>136413</v>
      </c>
      <c r="J129" s="65">
        <f t="shared" si="42"/>
        <v>0</v>
      </c>
      <c r="K129" s="65">
        <f t="shared" si="43"/>
        <v>136413</v>
      </c>
    </row>
    <row r="130" spans="1:11" s="68" customFormat="1" ht="15" customHeight="1">
      <c r="A130" s="67" t="s">
        <v>107</v>
      </c>
      <c r="B130" s="68" t="s">
        <v>129</v>
      </c>
      <c r="C130" s="64">
        <v>1000</v>
      </c>
      <c r="D130" s="64">
        <v>0</v>
      </c>
      <c r="E130" s="65">
        <f t="shared" si="39"/>
        <v>1000</v>
      </c>
      <c r="F130" s="66">
        <f>-1000</f>
        <v>-1000</v>
      </c>
      <c r="G130" s="66">
        <v>0</v>
      </c>
      <c r="H130" s="65">
        <f t="shared" si="40"/>
        <v>-1000</v>
      </c>
      <c r="I130" s="65">
        <f t="shared" si="41"/>
        <v>0</v>
      </c>
      <c r="J130" s="65">
        <f t="shared" si="42"/>
        <v>0</v>
      </c>
      <c r="K130" s="65">
        <f t="shared" si="43"/>
        <v>0</v>
      </c>
    </row>
    <row r="131" spans="1:11" s="68" customFormat="1" ht="15" customHeight="1">
      <c r="A131" s="67" t="s">
        <v>58</v>
      </c>
      <c r="B131" s="68" t="s">
        <v>59</v>
      </c>
      <c r="C131" s="64">
        <v>960000</v>
      </c>
      <c r="D131" s="64">
        <v>0</v>
      </c>
      <c r="E131" s="65">
        <f>SUM(C131:D131)</f>
        <v>960000</v>
      </c>
      <c r="F131" s="66">
        <f>-90000</f>
        <v>-90000</v>
      </c>
      <c r="G131" s="82">
        <v>90000</v>
      </c>
      <c r="H131" s="65">
        <f>F131+G131</f>
        <v>0</v>
      </c>
      <c r="I131" s="65">
        <f>C131+F131</f>
        <v>870000</v>
      </c>
      <c r="J131" s="65">
        <f>D131+G131</f>
        <v>90000</v>
      </c>
      <c r="K131" s="65">
        <f>E131+H131</f>
        <v>960000</v>
      </c>
    </row>
    <row r="132" spans="1:11" s="73" customFormat="1" ht="15" customHeight="1">
      <c r="A132" s="72" t="s">
        <v>113</v>
      </c>
      <c r="B132" s="73" t="s">
        <v>114</v>
      </c>
      <c r="C132" s="70">
        <v>3419</v>
      </c>
      <c r="D132" s="70">
        <v>0</v>
      </c>
      <c r="E132" s="61">
        <f t="shared" si="39"/>
        <v>3419</v>
      </c>
      <c r="F132" s="60">
        <v>3000</v>
      </c>
      <c r="G132" s="60">
        <v>0</v>
      </c>
      <c r="H132" s="61">
        <f t="shared" si="40"/>
        <v>3000</v>
      </c>
      <c r="I132" s="61">
        <f t="shared" si="41"/>
        <v>6419</v>
      </c>
      <c r="J132" s="61">
        <f t="shared" si="42"/>
        <v>0</v>
      </c>
      <c r="K132" s="61">
        <f t="shared" si="43"/>
        <v>6419</v>
      </c>
    </row>
    <row r="133" spans="1:11" s="74" customFormat="1" ht="15" customHeight="1">
      <c r="A133" s="53">
        <v>80114</v>
      </c>
      <c r="B133" s="54" t="s">
        <v>84</v>
      </c>
      <c r="C133" s="57">
        <v>460798</v>
      </c>
      <c r="D133" s="57">
        <v>0</v>
      </c>
      <c r="E133" s="56">
        <f t="shared" si="33"/>
        <v>460798</v>
      </c>
      <c r="F133" s="57">
        <f>SUM(F134:F138)</f>
        <v>0</v>
      </c>
      <c r="G133" s="57">
        <v>0</v>
      </c>
      <c r="H133" s="56">
        <f t="shared" si="34"/>
        <v>0</v>
      </c>
      <c r="I133" s="56">
        <f t="shared" si="35"/>
        <v>460798</v>
      </c>
      <c r="J133" s="56">
        <f t="shared" si="36"/>
        <v>0</v>
      </c>
      <c r="K133" s="56">
        <f>SUM(E133+H133)</f>
        <v>460798</v>
      </c>
    </row>
    <row r="134" spans="1:11" s="63" customFormat="1" ht="15" customHeight="1">
      <c r="A134" s="62" t="s">
        <v>68</v>
      </c>
      <c r="B134" s="63" t="s">
        <v>69</v>
      </c>
      <c r="C134" s="64">
        <v>282830</v>
      </c>
      <c r="D134" s="64">
        <v>0</v>
      </c>
      <c r="E134" s="65">
        <f t="shared" si="33"/>
        <v>282830</v>
      </c>
      <c r="F134" s="66">
        <v>-1500</v>
      </c>
      <c r="G134" s="66">
        <v>0</v>
      </c>
      <c r="H134" s="65">
        <f t="shared" si="34"/>
        <v>-1500</v>
      </c>
      <c r="I134" s="65">
        <f t="shared" si="35"/>
        <v>281330</v>
      </c>
      <c r="J134" s="65">
        <f t="shared" si="36"/>
        <v>0</v>
      </c>
      <c r="K134" s="65">
        <f>E134+H134</f>
        <v>281330</v>
      </c>
    </row>
    <row r="135" spans="1:11" s="63" customFormat="1" ht="15" customHeight="1">
      <c r="A135" s="62" t="s">
        <v>40</v>
      </c>
      <c r="B135" s="63" t="s">
        <v>54</v>
      </c>
      <c r="C135" s="64">
        <v>47500</v>
      </c>
      <c r="D135" s="64">
        <v>0</v>
      </c>
      <c r="E135" s="65">
        <f t="shared" si="33"/>
        <v>47500</v>
      </c>
      <c r="F135" s="66">
        <v>1500</v>
      </c>
      <c r="G135" s="66">
        <v>0</v>
      </c>
      <c r="H135" s="65">
        <f t="shared" si="34"/>
        <v>1500</v>
      </c>
      <c r="I135" s="65">
        <f t="shared" si="35"/>
        <v>49000</v>
      </c>
      <c r="J135" s="65">
        <f t="shared" si="36"/>
        <v>0</v>
      </c>
      <c r="K135" s="65">
        <f>E135+H135</f>
        <v>49000</v>
      </c>
    </row>
    <row r="136" spans="1:11" s="74" customFormat="1" ht="15" customHeight="1">
      <c r="A136" s="62" t="s">
        <v>44</v>
      </c>
      <c r="B136" s="63" t="s">
        <v>127</v>
      </c>
      <c r="C136" s="66">
        <v>0</v>
      </c>
      <c r="D136" s="66">
        <v>0</v>
      </c>
      <c r="E136" s="65">
        <f t="shared" si="33"/>
        <v>0</v>
      </c>
      <c r="F136" s="66">
        <v>580</v>
      </c>
      <c r="G136" s="66">
        <v>0</v>
      </c>
      <c r="H136" s="65">
        <f t="shared" si="34"/>
        <v>580</v>
      </c>
      <c r="I136" s="65">
        <f t="shared" si="35"/>
        <v>580</v>
      </c>
      <c r="J136" s="65">
        <f t="shared" si="36"/>
        <v>0</v>
      </c>
      <c r="K136" s="65">
        <f>E136+H136</f>
        <v>580</v>
      </c>
    </row>
    <row r="137" spans="1:11" s="74" customFormat="1" ht="15" customHeight="1">
      <c r="A137" s="62" t="s">
        <v>72</v>
      </c>
      <c r="B137" s="63" t="s">
        <v>73</v>
      </c>
      <c r="C137" s="66">
        <v>21180</v>
      </c>
      <c r="D137" s="66">
        <v>0</v>
      </c>
      <c r="E137" s="65">
        <f t="shared" si="33"/>
        <v>21180</v>
      </c>
      <c r="F137" s="66">
        <v>-3580</v>
      </c>
      <c r="G137" s="66">
        <v>0</v>
      </c>
      <c r="H137" s="65">
        <f t="shared" si="34"/>
        <v>-3580</v>
      </c>
      <c r="I137" s="65">
        <f t="shared" si="35"/>
        <v>17600</v>
      </c>
      <c r="J137" s="65">
        <f t="shared" si="36"/>
        <v>0</v>
      </c>
      <c r="K137" s="65">
        <f>E137+H137</f>
        <v>17600</v>
      </c>
    </row>
    <row r="138" spans="1:11" s="76" customFormat="1" ht="15" customHeight="1">
      <c r="A138" s="58" t="s">
        <v>47</v>
      </c>
      <c r="B138" s="59" t="s">
        <v>48</v>
      </c>
      <c r="C138" s="60">
        <v>16000</v>
      </c>
      <c r="D138" s="60">
        <v>0</v>
      </c>
      <c r="E138" s="61">
        <f t="shared" si="33"/>
        <v>16000</v>
      </c>
      <c r="F138" s="60">
        <v>3000</v>
      </c>
      <c r="G138" s="60">
        <v>0</v>
      </c>
      <c r="H138" s="61">
        <f t="shared" si="34"/>
        <v>3000</v>
      </c>
      <c r="I138" s="61">
        <f t="shared" si="35"/>
        <v>19000</v>
      </c>
      <c r="J138" s="61">
        <f t="shared" si="36"/>
        <v>0</v>
      </c>
      <c r="K138" s="61">
        <f>E138+H138</f>
        <v>19000</v>
      </c>
    </row>
    <row r="139" spans="1:11" s="45" customFormat="1" ht="15" customHeight="1">
      <c r="A139" s="71">
        <v>80146</v>
      </c>
      <c r="B139" s="69" t="s">
        <v>77</v>
      </c>
      <c r="C139" s="55">
        <v>272921</v>
      </c>
      <c r="D139" s="55">
        <v>0</v>
      </c>
      <c r="E139" s="56">
        <f t="shared" si="33"/>
        <v>272921</v>
      </c>
      <c r="F139" s="55">
        <f>SUM(F140:F143)</f>
        <v>4156</v>
      </c>
      <c r="G139" s="55">
        <v>0</v>
      </c>
      <c r="H139" s="56">
        <f t="shared" si="34"/>
        <v>4156</v>
      </c>
      <c r="I139" s="56">
        <f aca="true" t="shared" si="44" ref="I139:K150">C139+F139</f>
        <v>277077</v>
      </c>
      <c r="J139" s="56">
        <f t="shared" si="44"/>
        <v>0</v>
      </c>
      <c r="K139" s="56">
        <f t="shared" si="44"/>
        <v>277077</v>
      </c>
    </row>
    <row r="140" spans="1:11" s="45" customFormat="1" ht="15" customHeight="1">
      <c r="A140" s="62" t="s">
        <v>68</v>
      </c>
      <c r="B140" s="63" t="s">
        <v>128</v>
      </c>
      <c r="C140" s="66">
        <v>125270</v>
      </c>
      <c r="D140" s="66">
        <v>0</v>
      </c>
      <c r="E140" s="65">
        <f t="shared" si="33"/>
        <v>125270</v>
      </c>
      <c r="F140" s="66">
        <f>-500+10468+4300</f>
        <v>14268</v>
      </c>
      <c r="G140" s="66">
        <v>0</v>
      </c>
      <c r="H140" s="65">
        <f t="shared" si="34"/>
        <v>14268</v>
      </c>
      <c r="I140" s="65">
        <f t="shared" si="44"/>
        <v>139538</v>
      </c>
      <c r="J140" s="65">
        <f t="shared" si="44"/>
        <v>0</v>
      </c>
      <c r="K140" s="65">
        <f t="shared" si="44"/>
        <v>139538</v>
      </c>
    </row>
    <row r="141" spans="1:11" s="45" customFormat="1" ht="15" customHeight="1">
      <c r="A141" s="62" t="s">
        <v>40</v>
      </c>
      <c r="B141" s="63" t="s">
        <v>54</v>
      </c>
      <c r="C141" s="66">
        <v>24643</v>
      </c>
      <c r="D141" s="66">
        <v>0</v>
      </c>
      <c r="E141" s="65">
        <f t="shared" si="33"/>
        <v>24643</v>
      </c>
      <c r="F141" s="66">
        <f>-900-186+500</f>
        <v>-586</v>
      </c>
      <c r="G141" s="66">
        <v>0</v>
      </c>
      <c r="H141" s="65">
        <f t="shared" si="34"/>
        <v>-586</v>
      </c>
      <c r="I141" s="65">
        <f t="shared" si="44"/>
        <v>24057</v>
      </c>
      <c r="J141" s="65">
        <f t="shared" si="44"/>
        <v>0</v>
      </c>
      <c r="K141" s="65">
        <f t="shared" si="44"/>
        <v>24057</v>
      </c>
    </row>
    <row r="142" spans="1:11" s="45" customFormat="1" ht="15" customHeight="1">
      <c r="A142" s="62" t="s">
        <v>42</v>
      </c>
      <c r="B142" s="63" t="s">
        <v>43</v>
      </c>
      <c r="C142" s="66">
        <v>3330</v>
      </c>
      <c r="D142" s="66">
        <v>0</v>
      </c>
      <c r="E142" s="65">
        <f>SUM(C142:D142)</f>
        <v>3330</v>
      </c>
      <c r="F142" s="66">
        <f>-100-51+150</f>
        <v>-1</v>
      </c>
      <c r="G142" s="66">
        <v>0</v>
      </c>
      <c r="H142" s="65">
        <f>F142+G142</f>
        <v>-1</v>
      </c>
      <c r="I142" s="65">
        <f t="shared" si="44"/>
        <v>3329</v>
      </c>
      <c r="J142" s="65">
        <f t="shared" si="44"/>
        <v>0</v>
      </c>
      <c r="K142" s="65">
        <f t="shared" si="44"/>
        <v>3329</v>
      </c>
    </row>
    <row r="143" spans="1:11" s="76" customFormat="1" ht="15" customHeight="1">
      <c r="A143" s="58" t="s">
        <v>47</v>
      </c>
      <c r="B143" s="59" t="s">
        <v>48</v>
      </c>
      <c r="C143" s="60">
        <v>104300</v>
      </c>
      <c r="D143" s="60">
        <v>0</v>
      </c>
      <c r="E143" s="61">
        <f>SUM(C143:D143)</f>
        <v>104300</v>
      </c>
      <c r="F143" s="60">
        <f>-2575-2000-4950</f>
        <v>-9525</v>
      </c>
      <c r="G143" s="60">
        <v>0</v>
      </c>
      <c r="H143" s="61">
        <f>F143+G143</f>
        <v>-9525</v>
      </c>
      <c r="I143" s="61">
        <f t="shared" si="44"/>
        <v>94775</v>
      </c>
      <c r="J143" s="61">
        <f t="shared" si="44"/>
        <v>0</v>
      </c>
      <c r="K143" s="61">
        <f>E143+H143</f>
        <v>94775</v>
      </c>
    </row>
    <row r="144" spans="1:11" s="45" customFormat="1" ht="15" customHeight="1">
      <c r="A144" s="53">
        <v>80195</v>
      </c>
      <c r="B144" s="54" t="s">
        <v>31</v>
      </c>
      <c r="C144" s="57">
        <v>600459</v>
      </c>
      <c r="D144" s="57">
        <v>200</v>
      </c>
      <c r="E144" s="56">
        <f t="shared" si="33"/>
        <v>600659</v>
      </c>
      <c r="F144" s="57">
        <f>SUM(F145:F150)</f>
        <v>26624</v>
      </c>
      <c r="G144" s="57">
        <v>0</v>
      </c>
      <c r="H144" s="56">
        <f t="shared" si="34"/>
        <v>26624</v>
      </c>
      <c r="I144" s="56">
        <f t="shared" si="44"/>
        <v>627083</v>
      </c>
      <c r="J144" s="56">
        <f t="shared" si="44"/>
        <v>200</v>
      </c>
      <c r="K144" s="56">
        <f>SUM(E144+H144)</f>
        <v>627283</v>
      </c>
    </row>
    <row r="145" spans="1:11" s="45" customFormat="1" ht="15" customHeight="1">
      <c r="A145" s="62" t="s">
        <v>141</v>
      </c>
      <c r="B145" s="63" t="s">
        <v>142</v>
      </c>
      <c r="C145" s="66">
        <v>10000</v>
      </c>
      <c r="D145" s="66">
        <v>0</v>
      </c>
      <c r="E145" s="65">
        <f t="shared" si="33"/>
        <v>10000</v>
      </c>
      <c r="F145" s="66">
        <v>-7500</v>
      </c>
      <c r="G145" s="66">
        <v>0</v>
      </c>
      <c r="H145" s="65">
        <f t="shared" si="34"/>
        <v>-7500</v>
      </c>
      <c r="I145" s="65">
        <f t="shared" si="44"/>
        <v>2500</v>
      </c>
      <c r="J145" s="65">
        <f t="shared" si="44"/>
        <v>0</v>
      </c>
      <c r="K145" s="65">
        <f aca="true" t="shared" si="45" ref="K145:K151">E145+H145</f>
        <v>2500</v>
      </c>
    </row>
    <row r="146" spans="1:11" s="45" customFormat="1" ht="15" customHeight="1">
      <c r="A146" s="62" t="s">
        <v>40</v>
      </c>
      <c r="B146" s="63" t="s">
        <v>54</v>
      </c>
      <c r="C146" s="66">
        <v>23492</v>
      </c>
      <c r="D146" s="66">
        <v>0</v>
      </c>
      <c r="E146" s="65">
        <f>SUM(C146:D146)</f>
        <v>23492</v>
      </c>
      <c r="F146" s="66">
        <f>1550+870</f>
        <v>2420</v>
      </c>
      <c r="G146" s="66">
        <v>0</v>
      </c>
      <c r="H146" s="65">
        <f>F146+G146</f>
        <v>2420</v>
      </c>
      <c r="I146" s="65">
        <f>C146+F146</f>
        <v>25912</v>
      </c>
      <c r="J146" s="65">
        <f>D146+G146</f>
        <v>0</v>
      </c>
      <c r="K146" s="65">
        <f t="shared" si="45"/>
        <v>25912</v>
      </c>
    </row>
    <row r="147" spans="1:11" s="45" customFormat="1" ht="15" customHeight="1">
      <c r="A147" s="62" t="s">
        <v>42</v>
      </c>
      <c r="B147" s="63" t="s">
        <v>43</v>
      </c>
      <c r="C147" s="66">
        <v>3462</v>
      </c>
      <c r="D147" s="66">
        <v>0</v>
      </c>
      <c r="E147" s="65">
        <f t="shared" si="33"/>
        <v>3462</v>
      </c>
      <c r="F147" s="66">
        <f>330</f>
        <v>330</v>
      </c>
      <c r="G147" s="66">
        <v>0</v>
      </c>
      <c r="H147" s="65">
        <f t="shared" si="34"/>
        <v>330</v>
      </c>
      <c r="I147" s="65">
        <f t="shared" si="44"/>
        <v>3792</v>
      </c>
      <c r="J147" s="65">
        <f t="shared" si="44"/>
        <v>0</v>
      </c>
      <c r="K147" s="65">
        <f t="shared" si="45"/>
        <v>3792</v>
      </c>
    </row>
    <row r="148" spans="1:11" s="45" customFormat="1" ht="15" customHeight="1">
      <c r="A148" s="62" t="s">
        <v>44</v>
      </c>
      <c r="B148" s="63" t="s">
        <v>45</v>
      </c>
      <c r="C148" s="66">
        <v>134605</v>
      </c>
      <c r="D148" s="66">
        <v>0</v>
      </c>
      <c r="E148" s="65">
        <f t="shared" si="33"/>
        <v>134605</v>
      </c>
      <c r="F148" s="66">
        <f>9180+6020</f>
        <v>15200</v>
      </c>
      <c r="G148" s="66">
        <v>0</v>
      </c>
      <c r="H148" s="65">
        <f t="shared" si="34"/>
        <v>15200</v>
      </c>
      <c r="I148" s="65">
        <f t="shared" si="44"/>
        <v>149805</v>
      </c>
      <c r="J148" s="65">
        <f t="shared" si="44"/>
        <v>0</v>
      </c>
      <c r="K148" s="65">
        <f t="shared" si="45"/>
        <v>149805</v>
      </c>
    </row>
    <row r="149" spans="1:11" s="45" customFormat="1" ht="15" customHeight="1">
      <c r="A149" s="62" t="s">
        <v>33</v>
      </c>
      <c r="B149" s="63" t="s">
        <v>34</v>
      </c>
      <c r="C149" s="66">
        <v>12000</v>
      </c>
      <c r="D149" s="66">
        <v>0</v>
      </c>
      <c r="E149" s="65">
        <f>SUM(C149:D149)</f>
        <v>12000</v>
      </c>
      <c r="F149" s="66">
        <v>-3826</v>
      </c>
      <c r="G149" s="66">
        <v>0</v>
      </c>
      <c r="H149" s="65">
        <f>F149+G149</f>
        <v>-3826</v>
      </c>
      <c r="I149" s="65">
        <f>C149+F149</f>
        <v>8174</v>
      </c>
      <c r="J149" s="65">
        <f>D149+G149</f>
        <v>0</v>
      </c>
      <c r="K149" s="65">
        <f t="shared" si="45"/>
        <v>8174</v>
      </c>
    </row>
    <row r="150" spans="1:11" s="74" customFormat="1" ht="15" customHeight="1">
      <c r="A150" s="62" t="s">
        <v>55</v>
      </c>
      <c r="B150" s="63" t="s">
        <v>56</v>
      </c>
      <c r="C150" s="64">
        <v>30000</v>
      </c>
      <c r="D150" s="64">
        <v>0</v>
      </c>
      <c r="E150" s="65">
        <f>SUM(C150:D150)</f>
        <v>30000</v>
      </c>
      <c r="F150" s="66">
        <v>20000</v>
      </c>
      <c r="G150" s="66">
        <v>0</v>
      </c>
      <c r="H150" s="65">
        <f>F150+G150</f>
        <v>20000</v>
      </c>
      <c r="I150" s="65">
        <f t="shared" si="44"/>
        <v>50000</v>
      </c>
      <c r="J150" s="65">
        <f t="shared" si="44"/>
        <v>0</v>
      </c>
      <c r="K150" s="65">
        <f t="shared" si="45"/>
        <v>50000</v>
      </c>
    </row>
    <row r="151" spans="1:11" s="7" customFormat="1" ht="15" customHeight="1">
      <c r="A151" s="3" t="s">
        <v>37</v>
      </c>
      <c r="B151" s="15" t="s">
        <v>38</v>
      </c>
      <c r="C151" s="16">
        <v>1179333</v>
      </c>
      <c r="D151" s="16">
        <v>0</v>
      </c>
      <c r="E151" s="6">
        <f t="shared" si="33"/>
        <v>1179333</v>
      </c>
      <c r="F151" s="16">
        <f>F159</f>
        <v>-140000</v>
      </c>
      <c r="G151" s="16">
        <v>0</v>
      </c>
      <c r="H151" s="6">
        <f t="shared" si="34"/>
        <v>-140000</v>
      </c>
      <c r="I151" s="6">
        <f>C151+F151</f>
        <v>1039333</v>
      </c>
      <c r="J151" s="6">
        <f>D151+G151</f>
        <v>0</v>
      </c>
      <c r="K151" s="6">
        <f t="shared" si="45"/>
        <v>1039333</v>
      </c>
    </row>
    <row r="152" spans="1:11" s="10" customFormat="1" ht="15" customHeight="1">
      <c r="A152" s="14"/>
      <c r="B152" s="17" t="s">
        <v>10</v>
      </c>
      <c r="C152" s="18"/>
      <c r="D152" s="18"/>
      <c r="E152" s="9"/>
      <c r="F152" s="18"/>
      <c r="G152" s="18"/>
      <c r="H152" s="9"/>
      <c r="I152" s="9"/>
      <c r="J152" s="9"/>
      <c r="K152" s="9"/>
    </row>
    <row r="153" spans="1:11" s="13" customFormat="1" ht="15" customHeight="1">
      <c r="A153" s="19"/>
      <c r="B153" s="11" t="s">
        <v>164</v>
      </c>
      <c r="C153" s="21">
        <v>140000</v>
      </c>
      <c r="D153" s="21">
        <v>0</v>
      </c>
      <c r="E153" s="12">
        <f aca="true" t="shared" si="46" ref="E153:E160">SUM(C153:D153)</f>
        <v>140000</v>
      </c>
      <c r="F153" s="21">
        <f>F160</f>
        <v>-140000</v>
      </c>
      <c r="G153" s="21">
        <v>0</v>
      </c>
      <c r="H153" s="12">
        <f aca="true" t="shared" si="47" ref="H153:H160">F153+G153</f>
        <v>-140000</v>
      </c>
      <c r="I153" s="12">
        <f aca="true" t="shared" si="48" ref="I153:K161">C153+F153</f>
        <v>0</v>
      </c>
      <c r="J153" s="12">
        <f t="shared" si="48"/>
        <v>0</v>
      </c>
      <c r="K153" s="12">
        <f t="shared" si="48"/>
        <v>0</v>
      </c>
    </row>
    <row r="154" spans="1:11" s="7" customFormat="1" ht="15" customHeight="1">
      <c r="A154" s="22">
        <v>85154</v>
      </c>
      <c r="B154" s="7" t="s">
        <v>39</v>
      </c>
      <c r="C154" s="23">
        <v>997333</v>
      </c>
      <c r="D154" s="23">
        <v>0</v>
      </c>
      <c r="E154" s="24">
        <f t="shared" si="46"/>
        <v>997333</v>
      </c>
      <c r="F154" s="23">
        <f>SUM(F155:F158)</f>
        <v>0</v>
      </c>
      <c r="G154" s="23">
        <v>0</v>
      </c>
      <c r="H154" s="24">
        <f t="shared" si="47"/>
        <v>0</v>
      </c>
      <c r="I154" s="24">
        <f t="shared" si="48"/>
        <v>997333</v>
      </c>
      <c r="J154" s="24">
        <f t="shared" si="48"/>
        <v>0</v>
      </c>
      <c r="K154" s="24">
        <f t="shared" si="48"/>
        <v>997333</v>
      </c>
    </row>
    <row r="155" spans="1:11" s="10" customFormat="1" ht="15" customHeight="1">
      <c r="A155" s="25" t="s">
        <v>40</v>
      </c>
      <c r="B155" s="10" t="s">
        <v>41</v>
      </c>
      <c r="C155" s="26">
        <v>21593</v>
      </c>
      <c r="D155" s="26">
        <v>0</v>
      </c>
      <c r="E155" s="27">
        <f t="shared" si="46"/>
        <v>21593</v>
      </c>
      <c r="F155" s="26">
        <f>1610</f>
        <v>1610</v>
      </c>
      <c r="G155" s="26">
        <v>0</v>
      </c>
      <c r="H155" s="27">
        <f t="shared" si="47"/>
        <v>1610</v>
      </c>
      <c r="I155" s="27">
        <f t="shared" si="48"/>
        <v>23203</v>
      </c>
      <c r="J155" s="27">
        <f t="shared" si="48"/>
        <v>0</v>
      </c>
      <c r="K155" s="27">
        <f t="shared" si="48"/>
        <v>23203</v>
      </c>
    </row>
    <row r="156" spans="1:11" s="10" customFormat="1" ht="15" customHeight="1">
      <c r="A156" s="25" t="s">
        <v>42</v>
      </c>
      <c r="B156" s="10" t="s">
        <v>43</v>
      </c>
      <c r="C156" s="26">
        <v>2877</v>
      </c>
      <c r="D156" s="26">
        <v>0</v>
      </c>
      <c r="E156" s="27">
        <f t="shared" si="46"/>
        <v>2877</v>
      </c>
      <c r="F156" s="26">
        <f>220</f>
        <v>220</v>
      </c>
      <c r="G156" s="26">
        <v>0</v>
      </c>
      <c r="H156" s="27">
        <f t="shared" si="47"/>
        <v>220</v>
      </c>
      <c r="I156" s="27">
        <f t="shared" si="48"/>
        <v>3097</v>
      </c>
      <c r="J156" s="27">
        <f t="shared" si="48"/>
        <v>0</v>
      </c>
      <c r="K156" s="27">
        <f t="shared" si="48"/>
        <v>3097</v>
      </c>
    </row>
    <row r="157" spans="1:11" s="10" customFormat="1" ht="15" customHeight="1">
      <c r="A157" s="25" t="s">
        <v>44</v>
      </c>
      <c r="B157" s="10" t="s">
        <v>45</v>
      </c>
      <c r="C157" s="26">
        <v>279876</v>
      </c>
      <c r="D157" s="26">
        <v>0</v>
      </c>
      <c r="E157" s="27">
        <f t="shared" si="46"/>
        <v>279876</v>
      </c>
      <c r="F157" s="26">
        <v>8990</v>
      </c>
      <c r="G157" s="26">
        <v>0</v>
      </c>
      <c r="H157" s="27">
        <f t="shared" si="47"/>
        <v>8990</v>
      </c>
      <c r="I157" s="27">
        <f t="shared" si="48"/>
        <v>288866</v>
      </c>
      <c r="J157" s="27">
        <f t="shared" si="48"/>
        <v>0</v>
      </c>
      <c r="K157" s="27">
        <f t="shared" si="48"/>
        <v>288866</v>
      </c>
    </row>
    <row r="158" spans="1:11" s="13" customFormat="1" ht="15" customHeight="1">
      <c r="A158" s="38" t="s">
        <v>47</v>
      </c>
      <c r="B158" s="13" t="s">
        <v>48</v>
      </c>
      <c r="C158" s="39">
        <v>282437</v>
      </c>
      <c r="D158" s="39">
        <v>0</v>
      </c>
      <c r="E158" s="40">
        <f t="shared" si="46"/>
        <v>282437</v>
      </c>
      <c r="F158" s="39">
        <f>-10820</f>
        <v>-10820</v>
      </c>
      <c r="G158" s="39">
        <v>0</v>
      </c>
      <c r="H158" s="40">
        <f t="shared" si="47"/>
        <v>-10820</v>
      </c>
      <c r="I158" s="40">
        <f t="shared" si="48"/>
        <v>271617</v>
      </c>
      <c r="J158" s="40">
        <f t="shared" si="48"/>
        <v>0</v>
      </c>
      <c r="K158" s="40">
        <f t="shared" si="48"/>
        <v>271617</v>
      </c>
    </row>
    <row r="159" spans="1:11" s="7" customFormat="1" ht="15" customHeight="1">
      <c r="A159" s="22">
        <v>85149</v>
      </c>
      <c r="B159" s="7" t="s">
        <v>155</v>
      </c>
      <c r="C159" s="23">
        <v>180000</v>
      </c>
      <c r="D159" s="23">
        <v>0</v>
      </c>
      <c r="E159" s="24">
        <f t="shared" si="46"/>
        <v>180000</v>
      </c>
      <c r="F159" s="23">
        <f>SUM(F160:F160)</f>
        <v>-140000</v>
      </c>
      <c r="G159" s="23">
        <v>0</v>
      </c>
      <c r="H159" s="24">
        <f t="shared" si="47"/>
        <v>-140000</v>
      </c>
      <c r="I159" s="24">
        <f t="shared" si="48"/>
        <v>40000</v>
      </c>
      <c r="J159" s="24">
        <f t="shared" si="48"/>
        <v>0</v>
      </c>
      <c r="K159" s="24">
        <f t="shared" si="48"/>
        <v>40000</v>
      </c>
    </row>
    <row r="160" spans="1:11" s="10" customFormat="1" ht="15" customHeight="1">
      <c r="A160" s="25" t="s">
        <v>152</v>
      </c>
      <c r="B160" s="10" t="s">
        <v>154</v>
      </c>
      <c r="C160" s="26">
        <v>140000</v>
      </c>
      <c r="D160" s="26">
        <v>0</v>
      </c>
      <c r="E160" s="27">
        <f t="shared" si="46"/>
        <v>140000</v>
      </c>
      <c r="F160" s="26">
        <v>-140000</v>
      </c>
      <c r="G160" s="26">
        <v>0</v>
      </c>
      <c r="H160" s="27">
        <f t="shared" si="47"/>
        <v>-140000</v>
      </c>
      <c r="I160" s="27">
        <f t="shared" si="48"/>
        <v>0</v>
      </c>
      <c r="J160" s="27">
        <f t="shared" si="48"/>
        <v>0</v>
      </c>
      <c r="K160" s="27">
        <f t="shared" si="48"/>
        <v>0</v>
      </c>
    </row>
    <row r="161" spans="1:11" s="45" customFormat="1" ht="15" customHeight="1">
      <c r="A161" s="41" t="s">
        <v>22</v>
      </c>
      <c r="B161" s="42" t="s">
        <v>23</v>
      </c>
      <c r="C161" s="43">
        <v>9787445</v>
      </c>
      <c r="D161" s="43">
        <v>17874159</v>
      </c>
      <c r="E161" s="44">
        <f>SUM(C161:D161)</f>
        <v>27661604</v>
      </c>
      <c r="F161" s="43">
        <f>F164+F173</f>
        <v>18000</v>
      </c>
      <c r="G161" s="43">
        <v>0</v>
      </c>
      <c r="H161" s="44">
        <f>F161+G161</f>
        <v>18000</v>
      </c>
      <c r="I161" s="44">
        <f t="shared" si="48"/>
        <v>9805445</v>
      </c>
      <c r="J161" s="44">
        <f t="shared" si="48"/>
        <v>17874159</v>
      </c>
      <c r="K161" s="44">
        <f t="shared" si="48"/>
        <v>27679604</v>
      </c>
    </row>
    <row r="162" spans="1:11" s="45" customFormat="1" ht="15" customHeight="1">
      <c r="A162" s="46"/>
      <c r="B162" s="47" t="s">
        <v>10</v>
      </c>
      <c r="C162" s="48"/>
      <c r="D162" s="48"/>
      <c r="E162" s="49"/>
      <c r="F162" s="48"/>
      <c r="G162" s="48"/>
      <c r="H162" s="49"/>
      <c r="I162" s="49"/>
      <c r="J162" s="49"/>
      <c r="K162" s="49"/>
    </row>
    <row r="163" spans="1:11" s="45" customFormat="1" ht="15" customHeight="1">
      <c r="A163" s="50"/>
      <c r="B163" s="11" t="s">
        <v>164</v>
      </c>
      <c r="C163" s="51">
        <v>82300</v>
      </c>
      <c r="D163" s="51">
        <v>0</v>
      </c>
      <c r="E163" s="52">
        <f aca="true" t="shared" si="49" ref="E163:E172">SUM(C163:D163)</f>
        <v>82300</v>
      </c>
      <c r="F163" s="51">
        <f>F172</f>
        <v>10000</v>
      </c>
      <c r="G163" s="51">
        <v>0</v>
      </c>
      <c r="H163" s="52">
        <f aca="true" t="shared" si="50" ref="H163:H172">F163+G163</f>
        <v>10000</v>
      </c>
      <c r="I163" s="52">
        <f aca="true" t="shared" si="51" ref="I163:K172">C163+F163</f>
        <v>92300</v>
      </c>
      <c r="J163" s="52">
        <f t="shared" si="51"/>
        <v>0</v>
      </c>
      <c r="K163" s="52">
        <f t="shared" si="51"/>
        <v>92300</v>
      </c>
    </row>
    <row r="164" spans="1:11" s="29" customFormat="1" ht="15" customHeight="1">
      <c r="A164" s="28">
        <v>85202</v>
      </c>
      <c r="B164" s="29" t="s">
        <v>65</v>
      </c>
      <c r="C164" s="23">
        <v>1071400</v>
      </c>
      <c r="D164" s="23">
        <v>0</v>
      </c>
      <c r="E164" s="24">
        <f t="shared" si="49"/>
        <v>1071400</v>
      </c>
      <c r="F164" s="30">
        <f>SUM(F165:F172)</f>
        <v>18000</v>
      </c>
      <c r="G164" s="30">
        <v>0</v>
      </c>
      <c r="H164" s="24">
        <f t="shared" si="50"/>
        <v>18000</v>
      </c>
      <c r="I164" s="24">
        <f t="shared" si="51"/>
        <v>1089400</v>
      </c>
      <c r="J164" s="24">
        <f t="shared" si="51"/>
        <v>0</v>
      </c>
      <c r="K164" s="24">
        <f t="shared" si="51"/>
        <v>1089400</v>
      </c>
    </row>
    <row r="165" spans="1:11" s="63" customFormat="1" ht="15" customHeight="1">
      <c r="A165" s="62" t="s">
        <v>68</v>
      </c>
      <c r="B165" s="63" t="s">
        <v>69</v>
      </c>
      <c r="C165" s="64">
        <v>456600</v>
      </c>
      <c r="D165" s="64">
        <v>0</v>
      </c>
      <c r="E165" s="65">
        <f t="shared" si="49"/>
        <v>456600</v>
      </c>
      <c r="F165" s="66">
        <v>15000</v>
      </c>
      <c r="G165" s="66">
        <v>0</v>
      </c>
      <c r="H165" s="65">
        <f t="shared" si="50"/>
        <v>15000</v>
      </c>
      <c r="I165" s="65">
        <f t="shared" si="51"/>
        <v>471600</v>
      </c>
      <c r="J165" s="65">
        <f t="shared" si="51"/>
        <v>0</v>
      </c>
      <c r="K165" s="65">
        <f t="shared" si="51"/>
        <v>471600</v>
      </c>
    </row>
    <row r="166" spans="1:11" s="63" customFormat="1" ht="15" customHeight="1">
      <c r="A166" s="62" t="s">
        <v>53</v>
      </c>
      <c r="B166" s="63" t="s">
        <v>70</v>
      </c>
      <c r="C166" s="64">
        <v>32800</v>
      </c>
      <c r="D166" s="64">
        <v>0</v>
      </c>
      <c r="E166" s="65">
        <f t="shared" si="49"/>
        <v>32800</v>
      </c>
      <c r="F166" s="66">
        <v>-455</v>
      </c>
      <c r="G166" s="66">
        <v>0</v>
      </c>
      <c r="H166" s="65">
        <f t="shared" si="50"/>
        <v>-455</v>
      </c>
      <c r="I166" s="65">
        <f t="shared" si="51"/>
        <v>32345</v>
      </c>
      <c r="J166" s="65">
        <f t="shared" si="51"/>
        <v>0</v>
      </c>
      <c r="K166" s="65">
        <f t="shared" si="51"/>
        <v>32345</v>
      </c>
    </row>
    <row r="167" spans="1:11" s="68" customFormat="1" ht="15" customHeight="1">
      <c r="A167" s="62" t="s">
        <v>40</v>
      </c>
      <c r="B167" s="63" t="s">
        <v>54</v>
      </c>
      <c r="C167" s="66">
        <v>80000</v>
      </c>
      <c r="D167" s="66">
        <v>0</v>
      </c>
      <c r="E167" s="65">
        <f t="shared" si="49"/>
        <v>80000</v>
      </c>
      <c r="F167" s="66">
        <v>3355</v>
      </c>
      <c r="G167" s="66">
        <v>0</v>
      </c>
      <c r="H167" s="65">
        <f t="shared" si="50"/>
        <v>3355</v>
      </c>
      <c r="I167" s="65">
        <f t="shared" si="51"/>
        <v>83355</v>
      </c>
      <c r="J167" s="65">
        <f t="shared" si="51"/>
        <v>0</v>
      </c>
      <c r="K167" s="65">
        <f t="shared" si="51"/>
        <v>83355</v>
      </c>
    </row>
    <row r="168" spans="1:11" s="68" customFormat="1" ht="15" customHeight="1">
      <c r="A168" s="62" t="s">
        <v>50</v>
      </c>
      <c r="B168" s="63" t="s">
        <v>51</v>
      </c>
      <c r="C168" s="66">
        <v>195000</v>
      </c>
      <c r="D168" s="66">
        <v>0</v>
      </c>
      <c r="E168" s="65">
        <f t="shared" si="49"/>
        <v>195000</v>
      </c>
      <c r="F168" s="66">
        <v>-5000</v>
      </c>
      <c r="G168" s="66">
        <v>0</v>
      </c>
      <c r="H168" s="65">
        <f t="shared" si="50"/>
        <v>-5000</v>
      </c>
      <c r="I168" s="65">
        <f t="shared" si="51"/>
        <v>190000</v>
      </c>
      <c r="J168" s="65">
        <f t="shared" si="51"/>
        <v>0</v>
      </c>
      <c r="K168" s="65">
        <f t="shared" si="51"/>
        <v>190000</v>
      </c>
    </row>
    <row r="169" spans="1:11" s="74" customFormat="1" ht="15" customHeight="1">
      <c r="A169" s="62" t="s">
        <v>72</v>
      </c>
      <c r="B169" s="63" t="s">
        <v>73</v>
      </c>
      <c r="C169" s="66">
        <v>143700</v>
      </c>
      <c r="D169" s="66">
        <v>0</v>
      </c>
      <c r="E169" s="65">
        <f t="shared" si="49"/>
        <v>143700</v>
      </c>
      <c r="F169" s="66">
        <v>-6900</v>
      </c>
      <c r="G169" s="66">
        <v>0</v>
      </c>
      <c r="H169" s="65">
        <f t="shared" si="50"/>
        <v>-6900</v>
      </c>
      <c r="I169" s="65">
        <f t="shared" si="51"/>
        <v>136800</v>
      </c>
      <c r="J169" s="65">
        <f t="shared" si="51"/>
        <v>0</v>
      </c>
      <c r="K169" s="65">
        <f>E169+H169</f>
        <v>136800</v>
      </c>
    </row>
    <row r="170" spans="1:11" s="68" customFormat="1" ht="15" customHeight="1">
      <c r="A170" s="62" t="s">
        <v>47</v>
      </c>
      <c r="B170" s="63" t="s">
        <v>48</v>
      </c>
      <c r="C170" s="66">
        <v>56500</v>
      </c>
      <c r="D170" s="66">
        <v>0</v>
      </c>
      <c r="E170" s="65">
        <f t="shared" si="49"/>
        <v>56500</v>
      </c>
      <c r="F170" s="66">
        <v>4000</v>
      </c>
      <c r="G170" s="66">
        <v>0</v>
      </c>
      <c r="H170" s="65">
        <f t="shared" si="50"/>
        <v>4000</v>
      </c>
      <c r="I170" s="65">
        <f t="shared" si="51"/>
        <v>60500</v>
      </c>
      <c r="J170" s="65">
        <f t="shared" si="51"/>
        <v>0</v>
      </c>
      <c r="K170" s="65">
        <f t="shared" si="51"/>
        <v>60500</v>
      </c>
    </row>
    <row r="171" spans="1:11" s="68" customFormat="1" ht="15" customHeight="1">
      <c r="A171" s="67" t="s">
        <v>107</v>
      </c>
      <c r="B171" s="68" t="s">
        <v>108</v>
      </c>
      <c r="C171" s="64">
        <v>2000</v>
      </c>
      <c r="D171" s="64">
        <v>0</v>
      </c>
      <c r="E171" s="65">
        <f t="shared" si="49"/>
        <v>2000</v>
      </c>
      <c r="F171" s="66">
        <v>-2000</v>
      </c>
      <c r="G171" s="66">
        <v>0</v>
      </c>
      <c r="H171" s="65">
        <f t="shared" si="50"/>
        <v>-2000</v>
      </c>
      <c r="I171" s="65">
        <f t="shared" si="51"/>
        <v>0</v>
      </c>
      <c r="J171" s="65">
        <f t="shared" si="51"/>
        <v>0</v>
      </c>
      <c r="K171" s="65">
        <f t="shared" si="51"/>
        <v>0</v>
      </c>
    </row>
    <row r="172" spans="1:11" s="73" customFormat="1" ht="15" customHeight="1">
      <c r="A172" s="72" t="s">
        <v>113</v>
      </c>
      <c r="B172" s="73" t="s">
        <v>114</v>
      </c>
      <c r="C172" s="70">
        <v>7000</v>
      </c>
      <c r="D172" s="70">
        <v>0</v>
      </c>
      <c r="E172" s="61">
        <f t="shared" si="49"/>
        <v>7000</v>
      </c>
      <c r="F172" s="60">
        <v>10000</v>
      </c>
      <c r="G172" s="60">
        <v>0</v>
      </c>
      <c r="H172" s="61">
        <f t="shared" si="50"/>
        <v>10000</v>
      </c>
      <c r="I172" s="61">
        <f t="shared" si="51"/>
        <v>17000</v>
      </c>
      <c r="J172" s="61">
        <f t="shared" si="51"/>
        <v>0</v>
      </c>
      <c r="K172" s="61">
        <f t="shared" si="51"/>
        <v>17000</v>
      </c>
    </row>
    <row r="173" spans="1:11" s="29" customFormat="1" ht="15" customHeight="1">
      <c r="A173" s="28">
        <v>85228</v>
      </c>
      <c r="B173" s="29" t="s">
        <v>120</v>
      </c>
      <c r="C173" s="23">
        <v>421500</v>
      </c>
      <c r="D173" s="23">
        <v>78500</v>
      </c>
      <c r="E173" s="24">
        <f>SUM(C173:D173)</f>
        <v>500000</v>
      </c>
      <c r="F173" s="30">
        <f>SUM(F174:F175)</f>
        <v>0</v>
      </c>
      <c r="G173" s="30">
        <v>0</v>
      </c>
      <c r="H173" s="24">
        <f>F173+G173</f>
        <v>0</v>
      </c>
      <c r="I173" s="24">
        <f aca="true" t="shared" si="52" ref="I173:K175">C173+F173</f>
        <v>421500</v>
      </c>
      <c r="J173" s="24">
        <f t="shared" si="52"/>
        <v>78500</v>
      </c>
      <c r="K173" s="24">
        <f t="shared" si="52"/>
        <v>500000</v>
      </c>
    </row>
    <row r="174" spans="1:11" s="63" customFormat="1" ht="15" customHeight="1">
      <c r="A174" s="62" t="s">
        <v>68</v>
      </c>
      <c r="B174" s="63" t="s">
        <v>69</v>
      </c>
      <c r="C174" s="64">
        <v>300000</v>
      </c>
      <c r="D174" s="64">
        <v>49300</v>
      </c>
      <c r="E174" s="65">
        <f>SUM(C174:D174)</f>
        <v>349300</v>
      </c>
      <c r="F174" s="66">
        <v>0</v>
      </c>
      <c r="G174" s="66">
        <v>-2000</v>
      </c>
      <c r="H174" s="65">
        <f>F174+G174</f>
        <v>-2000</v>
      </c>
      <c r="I174" s="65">
        <f t="shared" si="52"/>
        <v>300000</v>
      </c>
      <c r="J174" s="65">
        <f t="shared" si="52"/>
        <v>47300</v>
      </c>
      <c r="K174" s="65">
        <f t="shared" si="52"/>
        <v>347300</v>
      </c>
    </row>
    <row r="175" spans="1:11" s="68" customFormat="1" ht="15" customHeight="1">
      <c r="A175" s="62" t="s">
        <v>47</v>
      </c>
      <c r="B175" s="63" t="s">
        <v>48</v>
      </c>
      <c r="C175" s="66">
        <v>4000</v>
      </c>
      <c r="D175" s="66">
        <v>2200</v>
      </c>
      <c r="E175" s="65">
        <f>SUM(C175:D175)</f>
        <v>6200</v>
      </c>
      <c r="F175" s="66">
        <v>0</v>
      </c>
      <c r="G175" s="66">
        <v>2000</v>
      </c>
      <c r="H175" s="65">
        <f>F175+G175</f>
        <v>2000</v>
      </c>
      <c r="I175" s="65">
        <f t="shared" si="52"/>
        <v>4000</v>
      </c>
      <c r="J175" s="65">
        <f t="shared" si="52"/>
        <v>4200</v>
      </c>
      <c r="K175" s="65">
        <f t="shared" si="52"/>
        <v>8200</v>
      </c>
    </row>
    <row r="176" spans="1:11" s="45" customFormat="1" ht="15" customHeight="1">
      <c r="A176" s="41" t="s">
        <v>102</v>
      </c>
      <c r="B176" s="42" t="s">
        <v>103</v>
      </c>
      <c r="C176" s="43">
        <v>717614</v>
      </c>
      <c r="D176" s="43">
        <v>0</v>
      </c>
      <c r="E176" s="44">
        <f>SUM(C176:D176)</f>
        <v>717614</v>
      </c>
      <c r="F176" s="43">
        <f>F179</f>
        <v>-4000</v>
      </c>
      <c r="G176" s="43">
        <v>0</v>
      </c>
      <c r="H176" s="44">
        <f>F176+G176</f>
        <v>-4000</v>
      </c>
      <c r="I176" s="44">
        <f>C176+F176</f>
        <v>713614</v>
      </c>
      <c r="J176" s="44">
        <f>D176+G176</f>
        <v>0</v>
      </c>
      <c r="K176" s="44">
        <f>E176+H176</f>
        <v>713614</v>
      </c>
    </row>
    <row r="177" spans="1:11" s="45" customFormat="1" ht="15" customHeight="1">
      <c r="A177" s="46"/>
      <c r="B177" s="47" t="s">
        <v>10</v>
      </c>
      <c r="C177" s="48"/>
      <c r="D177" s="48"/>
      <c r="E177" s="49"/>
      <c r="F177" s="48"/>
      <c r="G177" s="48"/>
      <c r="H177" s="49"/>
      <c r="I177" s="49"/>
      <c r="J177" s="49"/>
      <c r="K177" s="49"/>
    </row>
    <row r="178" spans="1:11" s="45" customFormat="1" ht="15" customHeight="1">
      <c r="A178" s="50"/>
      <c r="B178" s="11" t="s">
        <v>164</v>
      </c>
      <c r="C178" s="51">
        <v>7000</v>
      </c>
      <c r="D178" s="51">
        <v>0</v>
      </c>
      <c r="E178" s="52">
        <f>SUM(C178:D178)</f>
        <v>7000</v>
      </c>
      <c r="F178" s="51">
        <v>0</v>
      </c>
      <c r="G178" s="51">
        <v>0</v>
      </c>
      <c r="H178" s="52">
        <f>F178+G178</f>
        <v>0</v>
      </c>
      <c r="I178" s="52">
        <f aca="true" t="shared" si="53" ref="I178:K182">C178+F178</f>
        <v>7000</v>
      </c>
      <c r="J178" s="52">
        <f t="shared" si="53"/>
        <v>0</v>
      </c>
      <c r="K178" s="52">
        <f t="shared" si="53"/>
        <v>7000</v>
      </c>
    </row>
    <row r="179" spans="1:11" s="45" customFormat="1" ht="15" customHeight="1">
      <c r="A179" s="53">
        <v>85395</v>
      </c>
      <c r="B179" s="54" t="s">
        <v>31</v>
      </c>
      <c r="C179" s="55">
        <v>30000</v>
      </c>
      <c r="D179" s="55">
        <v>0</v>
      </c>
      <c r="E179" s="56">
        <f>SUM(C179:D179)</f>
        <v>30000</v>
      </c>
      <c r="F179" s="57">
        <f>SUM(F180:F181)</f>
        <v>-4000</v>
      </c>
      <c r="G179" s="57">
        <v>0</v>
      </c>
      <c r="H179" s="56">
        <f>F179+G179</f>
        <v>-4000</v>
      </c>
      <c r="I179" s="56">
        <f t="shared" si="53"/>
        <v>26000</v>
      </c>
      <c r="J179" s="56">
        <f t="shared" si="53"/>
        <v>0</v>
      </c>
      <c r="K179" s="56">
        <f t="shared" si="53"/>
        <v>26000</v>
      </c>
    </row>
    <row r="180" spans="1:11" s="45" customFormat="1" ht="15" customHeight="1">
      <c r="A180" s="62" t="s">
        <v>49</v>
      </c>
      <c r="B180" s="63" t="s">
        <v>104</v>
      </c>
      <c r="C180" s="64">
        <v>30000</v>
      </c>
      <c r="D180" s="64">
        <v>0</v>
      </c>
      <c r="E180" s="65">
        <f>SUM(C180:D180)</f>
        <v>30000</v>
      </c>
      <c r="F180" s="66">
        <f>-11000-5000</f>
        <v>-16000</v>
      </c>
      <c r="G180" s="66">
        <v>0</v>
      </c>
      <c r="H180" s="65">
        <f>F180+G180</f>
        <v>-16000</v>
      </c>
      <c r="I180" s="65">
        <f t="shared" si="53"/>
        <v>14000</v>
      </c>
      <c r="J180" s="65">
        <f t="shared" si="53"/>
        <v>0</v>
      </c>
      <c r="K180" s="65">
        <f t="shared" si="53"/>
        <v>14000</v>
      </c>
    </row>
    <row r="181" spans="1:11" s="45" customFormat="1" ht="15" customHeight="1">
      <c r="A181" s="62" t="s">
        <v>33</v>
      </c>
      <c r="B181" s="63" t="s">
        <v>34</v>
      </c>
      <c r="C181" s="64">
        <v>0</v>
      </c>
      <c r="D181" s="64">
        <v>0</v>
      </c>
      <c r="E181" s="65">
        <f>SUM(C181:D181)</f>
        <v>0</v>
      </c>
      <c r="F181" s="66">
        <f>11000+1000</f>
        <v>12000</v>
      </c>
      <c r="G181" s="66">
        <v>0</v>
      </c>
      <c r="H181" s="65">
        <f>F181+G181</f>
        <v>12000</v>
      </c>
      <c r="I181" s="65">
        <f t="shared" si="53"/>
        <v>12000</v>
      </c>
      <c r="J181" s="65">
        <f t="shared" si="53"/>
        <v>0</v>
      </c>
      <c r="K181" s="65">
        <f t="shared" si="53"/>
        <v>12000</v>
      </c>
    </row>
    <row r="182" spans="1:11" s="45" customFormat="1" ht="15" customHeight="1">
      <c r="A182" s="41" t="s">
        <v>80</v>
      </c>
      <c r="B182" s="42" t="s">
        <v>81</v>
      </c>
      <c r="C182" s="43">
        <v>3125518</v>
      </c>
      <c r="D182" s="43">
        <v>480628</v>
      </c>
      <c r="E182" s="44">
        <f>SUM(C182:D182)</f>
        <v>3606146</v>
      </c>
      <c r="F182" s="43">
        <f>F185+F194</f>
        <v>-77416</v>
      </c>
      <c r="G182" s="43">
        <v>0</v>
      </c>
      <c r="H182" s="44">
        <f>F182+G182</f>
        <v>-77416</v>
      </c>
      <c r="I182" s="44">
        <f t="shared" si="53"/>
        <v>3048102</v>
      </c>
      <c r="J182" s="44">
        <f t="shared" si="53"/>
        <v>480628</v>
      </c>
      <c r="K182" s="44">
        <f t="shared" si="53"/>
        <v>3528730</v>
      </c>
    </row>
    <row r="183" spans="1:11" s="45" customFormat="1" ht="15" customHeight="1">
      <c r="A183" s="46"/>
      <c r="B183" s="47" t="s">
        <v>10</v>
      </c>
      <c r="C183" s="48"/>
      <c r="D183" s="48"/>
      <c r="E183" s="49"/>
      <c r="F183" s="48"/>
      <c r="G183" s="48"/>
      <c r="H183" s="49"/>
      <c r="I183" s="49"/>
      <c r="J183" s="49"/>
      <c r="K183" s="49"/>
    </row>
    <row r="184" spans="1:11" s="45" customFormat="1" ht="15" customHeight="1">
      <c r="A184" s="46"/>
      <c r="B184" s="8" t="s">
        <v>164</v>
      </c>
      <c r="C184" s="48">
        <v>0</v>
      </c>
      <c r="D184" s="48">
        <v>0</v>
      </c>
      <c r="E184" s="49">
        <f aca="true" t="shared" si="54" ref="E184:E193">SUM(C184:D184)</f>
        <v>0</v>
      </c>
      <c r="F184" s="48">
        <v>0</v>
      </c>
      <c r="G184" s="48">
        <v>0</v>
      </c>
      <c r="H184" s="49">
        <f aca="true" t="shared" si="55" ref="H184:H193">F184+G184</f>
        <v>0</v>
      </c>
      <c r="I184" s="49">
        <f aca="true" t="shared" si="56" ref="I184:K196">C184+F184</f>
        <v>0</v>
      </c>
      <c r="J184" s="49">
        <f t="shared" si="56"/>
        <v>0</v>
      </c>
      <c r="K184" s="49">
        <f t="shared" si="56"/>
        <v>0</v>
      </c>
    </row>
    <row r="185" spans="1:11" s="69" customFormat="1" ht="15" customHeight="1">
      <c r="A185" s="53">
        <v>85401</v>
      </c>
      <c r="B185" s="54" t="s">
        <v>82</v>
      </c>
      <c r="C185" s="55">
        <v>3015074</v>
      </c>
      <c r="D185" s="55">
        <v>0</v>
      </c>
      <c r="E185" s="56">
        <f t="shared" si="54"/>
        <v>3015074</v>
      </c>
      <c r="F185" s="57">
        <f>SUM(F186:F193)</f>
        <v>-44185</v>
      </c>
      <c r="G185" s="57">
        <v>0</v>
      </c>
      <c r="H185" s="56">
        <f t="shared" si="55"/>
        <v>-44185</v>
      </c>
      <c r="I185" s="56">
        <f t="shared" si="56"/>
        <v>2970889</v>
      </c>
      <c r="J185" s="56">
        <f t="shared" si="56"/>
        <v>0</v>
      </c>
      <c r="K185" s="56">
        <f t="shared" si="56"/>
        <v>2970889</v>
      </c>
    </row>
    <row r="186" spans="1:11" s="68" customFormat="1" ht="15" customHeight="1">
      <c r="A186" s="62" t="s">
        <v>68</v>
      </c>
      <c r="B186" s="63" t="s">
        <v>83</v>
      </c>
      <c r="C186" s="64">
        <v>1457696</v>
      </c>
      <c r="D186" s="64">
        <v>0</v>
      </c>
      <c r="E186" s="65">
        <f t="shared" si="54"/>
        <v>1457696</v>
      </c>
      <c r="F186" s="66">
        <f>-14043</f>
        <v>-14043</v>
      </c>
      <c r="G186" s="66">
        <v>0</v>
      </c>
      <c r="H186" s="65">
        <f t="shared" si="55"/>
        <v>-14043</v>
      </c>
      <c r="I186" s="65">
        <f t="shared" si="56"/>
        <v>1443653</v>
      </c>
      <c r="J186" s="65">
        <f t="shared" si="56"/>
        <v>0</v>
      </c>
      <c r="K186" s="65">
        <f t="shared" si="56"/>
        <v>1443653</v>
      </c>
    </row>
    <row r="187" spans="1:11" s="68" customFormat="1" ht="15" customHeight="1">
      <c r="A187" s="62" t="s">
        <v>53</v>
      </c>
      <c r="B187" s="63" t="s">
        <v>70</v>
      </c>
      <c r="C187" s="64">
        <v>103171</v>
      </c>
      <c r="D187" s="64">
        <v>0</v>
      </c>
      <c r="E187" s="65">
        <f t="shared" si="54"/>
        <v>103171</v>
      </c>
      <c r="F187" s="66">
        <v>0</v>
      </c>
      <c r="G187" s="66">
        <v>0</v>
      </c>
      <c r="H187" s="65">
        <f t="shared" si="55"/>
        <v>0</v>
      </c>
      <c r="I187" s="65">
        <f t="shared" si="56"/>
        <v>103171</v>
      </c>
      <c r="J187" s="65">
        <f t="shared" si="56"/>
        <v>0</v>
      </c>
      <c r="K187" s="65">
        <f t="shared" si="56"/>
        <v>103171</v>
      </c>
    </row>
    <row r="188" spans="1:11" s="68" customFormat="1" ht="15" customHeight="1">
      <c r="A188" s="62" t="s">
        <v>40</v>
      </c>
      <c r="B188" s="63" t="s">
        <v>54</v>
      </c>
      <c r="C188" s="66">
        <v>286345</v>
      </c>
      <c r="D188" s="66">
        <v>0</v>
      </c>
      <c r="E188" s="65">
        <f t="shared" si="54"/>
        <v>286345</v>
      </c>
      <c r="F188" s="66">
        <f>3450-2522</f>
        <v>928</v>
      </c>
      <c r="G188" s="66">
        <v>0</v>
      </c>
      <c r="H188" s="65">
        <f t="shared" si="55"/>
        <v>928</v>
      </c>
      <c r="I188" s="65">
        <f t="shared" si="56"/>
        <v>287273</v>
      </c>
      <c r="J188" s="65">
        <f t="shared" si="56"/>
        <v>0</v>
      </c>
      <c r="K188" s="65">
        <f t="shared" si="56"/>
        <v>287273</v>
      </c>
    </row>
    <row r="189" spans="1:11" s="13" customFormat="1" ht="15" customHeight="1">
      <c r="A189" s="38" t="s">
        <v>42</v>
      </c>
      <c r="B189" s="13" t="s">
        <v>43</v>
      </c>
      <c r="C189" s="39">
        <v>40296</v>
      </c>
      <c r="D189" s="39">
        <v>0</v>
      </c>
      <c r="E189" s="40">
        <f>SUM(C189:D189)</f>
        <v>40296</v>
      </c>
      <c r="F189" s="39">
        <f>480-329</f>
        <v>151</v>
      </c>
      <c r="G189" s="39">
        <v>0</v>
      </c>
      <c r="H189" s="40">
        <f t="shared" si="55"/>
        <v>151</v>
      </c>
      <c r="I189" s="40">
        <f t="shared" si="56"/>
        <v>40447</v>
      </c>
      <c r="J189" s="40">
        <f t="shared" si="56"/>
        <v>0</v>
      </c>
      <c r="K189" s="40">
        <f t="shared" si="56"/>
        <v>40447</v>
      </c>
    </row>
    <row r="190" spans="1:11" s="68" customFormat="1" ht="15" customHeight="1">
      <c r="A190" s="62" t="s">
        <v>33</v>
      </c>
      <c r="B190" s="63" t="s">
        <v>34</v>
      </c>
      <c r="C190" s="66">
        <v>42104</v>
      </c>
      <c r="D190" s="66">
        <v>0</v>
      </c>
      <c r="E190" s="65">
        <f t="shared" si="54"/>
        <v>42104</v>
      </c>
      <c r="F190" s="66">
        <v>777</v>
      </c>
      <c r="G190" s="66">
        <v>0</v>
      </c>
      <c r="H190" s="65">
        <f t="shared" si="55"/>
        <v>777</v>
      </c>
      <c r="I190" s="65">
        <f t="shared" si="56"/>
        <v>42881</v>
      </c>
      <c r="J190" s="65">
        <f t="shared" si="56"/>
        <v>0</v>
      </c>
      <c r="K190" s="65">
        <f t="shared" si="56"/>
        <v>42881</v>
      </c>
    </row>
    <row r="191" spans="1:11" s="74" customFormat="1" ht="15" customHeight="1">
      <c r="A191" s="62" t="s">
        <v>50</v>
      </c>
      <c r="B191" s="63" t="s">
        <v>51</v>
      </c>
      <c r="C191" s="64">
        <v>987991</v>
      </c>
      <c r="D191" s="64">
        <v>0</v>
      </c>
      <c r="E191" s="65">
        <f t="shared" si="54"/>
        <v>987991</v>
      </c>
      <c r="F191" s="66">
        <f>-31221</f>
        <v>-31221</v>
      </c>
      <c r="G191" s="66">
        <v>0</v>
      </c>
      <c r="H191" s="65">
        <f t="shared" si="55"/>
        <v>-31221</v>
      </c>
      <c r="I191" s="65">
        <f t="shared" si="56"/>
        <v>956770</v>
      </c>
      <c r="J191" s="65">
        <f t="shared" si="56"/>
        <v>0</v>
      </c>
      <c r="K191" s="65">
        <f>E191+H191</f>
        <v>956770</v>
      </c>
    </row>
    <row r="192" spans="1:11" s="74" customFormat="1" ht="15" customHeight="1">
      <c r="A192" s="62" t="s">
        <v>55</v>
      </c>
      <c r="B192" s="63" t="s">
        <v>56</v>
      </c>
      <c r="C192" s="64">
        <v>5500</v>
      </c>
      <c r="D192" s="64">
        <v>0</v>
      </c>
      <c r="E192" s="65">
        <f t="shared" si="54"/>
        <v>5500</v>
      </c>
      <c r="F192" s="66">
        <v>-277</v>
      </c>
      <c r="G192" s="66">
        <v>0</v>
      </c>
      <c r="H192" s="65">
        <f t="shared" si="55"/>
        <v>-277</v>
      </c>
      <c r="I192" s="65">
        <f t="shared" si="56"/>
        <v>5223</v>
      </c>
      <c r="J192" s="65">
        <f t="shared" si="56"/>
        <v>0</v>
      </c>
      <c r="K192" s="65">
        <f>E192+H192</f>
        <v>5223</v>
      </c>
    </row>
    <row r="193" spans="1:11" s="68" customFormat="1" ht="15" customHeight="1">
      <c r="A193" s="62" t="s">
        <v>47</v>
      </c>
      <c r="B193" s="63" t="s">
        <v>48</v>
      </c>
      <c r="C193" s="66">
        <v>9959</v>
      </c>
      <c r="D193" s="66">
        <v>0</v>
      </c>
      <c r="E193" s="65">
        <f t="shared" si="54"/>
        <v>9959</v>
      </c>
      <c r="F193" s="66">
        <v>-500</v>
      </c>
      <c r="G193" s="66">
        <v>0</v>
      </c>
      <c r="H193" s="65">
        <f t="shared" si="55"/>
        <v>-500</v>
      </c>
      <c r="I193" s="65">
        <f t="shared" si="56"/>
        <v>9459</v>
      </c>
      <c r="J193" s="65">
        <f t="shared" si="56"/>
        <v>0</v>
      </c>
      <c r="K193" s="65">
        <f>E193+H193</f>
        <v>9459</v>
      </c>
    </row>
    <row r="194" spans="1:11" s="45" customFormat="1" ht="15" customHeight="1">
      <c r="A194" s="53">
        <v>85412</v>
      </c>
      <c r="B194" s="54" t="s">
        <v>130</v>
      </c>
      <c r="C194" s="55">
        <v>110444</v>
      </c>
      <c r="D194" s="55">
        <v>0</v>
      </c>
      <c r="E194" s="56">
        <f>SUM(C194:D194)</f>
        <v>110444</v>
      </c>
      <c r="F194" s="57">
        <f>SUM(F195:F196)</f>
        <v>-33231</v>
      </c>
      <c r="G194" s="57">
        <v>0</v>
      </c>
      <c r="H194" s="56">
        <f>F194+G194</f>
        <v>-33231</v>
      </c>
      <c r="I194" s="56">
        <f aca="true" t="shared" si="57" ref="I194:K195">C194+F194</f>
        <v>77213</v>
      </c>
      <c r="J194" s="56">
        <f t="shared" si="57"/>
        <v>0</v>
      </c>
      <c r="K194" s="56">
        <f t="shared" si="57"/>
        <v>77213</v>
      </c>
    </row>
    <row r="195" spans="1:11" s="74" customFormat="1" ht="15" customHeight="1">
      <c r="A195" s="62" t="s">
        <v>50</v>
      </c>
      <c r="B195" s="63" t="s">
        <v>51</v>
      </c>
      <c r="C195" s="64">
        <v>43749</v>
      </c>
      <c r="D195" s="64">
        <v>0</v>
      </c>
      <c r="E195" s="65">
        <f>SUM(C195:D195)</f>
        <v>43749</v>
      </c>
      <c r="F195" s="66">
        <f>-13984</f>
        <v>-13984</v>
      </c>
      <c r="G195" s="66">
        <v>0</v>
      </c>
      <c r="H195" s="65">
        <f>F195+G195</f>
        <v>-13984</v>
      </c>
      <c r="I195" s="65">
        <f t="shared" si="57"/>
        <v>29765</v>
      </c>
      <c r="J195" s="65">
        <f t="shared" si="57"/>
        <v>0</v>
      </c>
      <c r="K195" s="65">
        <f t="shared" si="57"/>
        <v>29765</v>
      </c>
    </row>
    <row r="196" spans="1:11" s="45" customFormat="1" ht="15" customHeight="1">
      <c r="A196" s="62" t="s">
        <v>47</v>
      </c>
      <c r="B196" s="63" t="s">
        <v>48</v>
      </c>
      <c r="C196" s="64">
        <v>66695</v>
      </c>
      <c r="D196" s="64">
        <v>0</v>
      </c>
      <c r="E196" s="65">
        <f>SUM(C196:D196)</f>
        <v>66695</v>
      </c>
      <c r="F196" s="66">
        <f>208-19455</f>
        <v>-19247</v>
      </c>
      <c r="G196" s="66">
        <v>0</v>
      </c>
      <c r="H196" s="65">
        <f>F196+G196</f>
        <v>-19247</v>
      </c>
      <c r="I196" s="65">
        <f t="shared" si="56"/>
        <v>47448</v>
      </c>
      <c r="J196" s="65">
        <f t="shared" si="56"/>
        <v>0</v>
      </c>
      <c r="K196" s="65">
        <f t="shared" si="56"/>
        <v>47448</v>
      </c>
    </row>
    <row r="197" spans="1:11" s="45" customFormat="1" ht="15" customHeight="1">
      <c r="A197" s="41" t="s">
        <v>60</v>
      </c>
      <c r="B197" s="42" t="s">
        <v>61</v>
      </c>
      <c r="C197" s="43">
        <v>11482333</v>
      </c>
      <c r="D197" s="43">
        <v>250000</v>
      </c>
      <c r="E197" s="44">
        <f>SUM(C197:D197)</f>
        <v>11732333</v>
      </c>
      <c r="F197" s="43">
        <f>F200+F204+F206+F208</f>
        <v>-915091</v>
      </c>
      <c r="G197" s="43">
        <f>G200+G204+G206+G208</f>
        <v>-250000</v>
      </c>
      <c r="H197" s="44">
        <f>F197+G197</f>
        <v>-1165091</v>
      </c>
      <c r="I197" s="44">
        <f>C197+F197</f>
        <v>10567242</v>
      </c>
      <c r="J197" s="44">
        <f>D197+G197</f>
        <v>0</v>
      </c>
      <c r="K197" s="44">
        <f>E197+H197</f>
        <v>10567242</v>
      </c>
    </row>
    <row r="198" spans="1:11" s="45" customFormat="1" ht="15" customHeight="1">
      <c r="A198" s="46"/>
      <c r="B198" s="47" t="s">
        <v>10</v>
      </c>
      <c r="C198" s="48"/>
      <c r="D198" s="48"/>
      <c r="E198" s="49"/>
      <c r="F198" s="48"/>
      <c r="G198" s="48"/>
      <c r="H198" s="49"/>
      <c r="I198" s="49"/>
      <c r="J198" s="49"/>
      <c r="K198" s="49"/>
    </row>
    <row r="199" spans="1:11" s="45" customFormat="1" ht="15" customHeight="1">
      <c r="A199" s="50"/>
      <c r="B199" s="11" t="s">
        <v>164</v>
      </c>
      <c r="C199" s="51">
        <v>5073946</v>
      </c>
      <c r="D199" s="51">
        <v>250000</v>
      </c>
      <c r="E199" s="52">
        <f aca="true" t="shared" si="58" ref="E199:E220">SUM(C199:D199)</f>
        <v>5323946</v>
      </c>
      <c r="F199" s="51">
        <f>F203+F205+F207+F217+F218+F216</f>
        <v>-823000</v>
      </c>
      <c r="G199" s="51">
        <f>G203+G205+G207+G217+G218</f>
        <v>-250000</v>
      </c>
      <c r="H199" s="52">
        <f aca="true" t="shared" si="59" ref="H199:H220">F199+G199</f>
        <v>-1073000</v>
      </c>
      <c r="I199" s="52">
        <f aca="true" t="shared" si="60" ref="I199:K218">C199+F199</f>
        <v>4250946</v>
      </c>
      <c r="J199" s="52">
        <f t="shared" si="60"/>
        <v>0</v>
      </c>
      <c r="K199" s="52">
        <f t="shared" si="60"/>
        <v>4250946</v>
      </c>
    </row>
    <row r="200" spans="1:11" s="45" customFormat="1" ht="15" customHeight="1">
      <c r="A200" s="53">
        <v>90001</v>
      </c>
      <c r="B200" s="54" t="s">
        <v>131</v>
      </c>
      <c r="C200" s="55">
        <v>416942</v>
      </c>
      <c r="D200" s="55">
        <v>0</v>
      </c>
      <c r="E200" s="56">
        <f t="shared" si="58"/>
        <v>416942</v>
      </c>
      <c r="F200" s="57">
        <f>SUM(F201:F203)</f>
        <v>-83550</v>
      </c>
      <c r="G200" s="57">
        <v>0</v>
      </c>
      <c r="H200" s="56">
        <f t="shared" si="59"/>
        <v>-83550</v>
      </c>
      <c r="I200" s="56">
        <f t="shared" si="60"/>
        <v>333392</v>
      </c>
      <c r="J200" s="56">
        <f t="shared" si="60"/>
        <v>0</v>
      </c>
      <c r="K200" s="56">
        <f t="shared" si="60"/>
        <v>333392</v>
      </c>
    </row>
    <row r="201" spans="1:11" s="45" customFormat="1" ht="15" customHeight="1">
      <c r="A201" s="62" t="s">
        <v>44</v>
      </c>
      <c r="B201" s="63" t="s">
        <v>127</v>
      </c>
      <c r="C201" s="64">
        <v>10000</v>
      </c>
      <c r="D201" s="64">
        <v>0</v>
      </c>
      <c r="E201" s="65">
        <f t="shared" si="58"/>
        <v>10000</v>
      </c>
      <c r="F201" s="66">
        <v>-10000</v>
      </c>
      <c r="G201" s="66">
        <v>0</v>
      </c>
      <c r="H201" s="65">
        <f t="shared" si="59"/>
        <v>-10000</v>
      </c>
      <c r="I201" s="65">
        <f t="shared" si="60"/>
        <v>0</v>
      </c>
      <c r="J201" s="65">
        <f t="shared" si="60"/>
        <v>0</v>
      </c>
      <c r="K201" s="65">
        <f t="shared" si="60"/>
        <v>0</v>
      </c>
    </row>
    <row r="202" spans="1:11" s="45" customFormat="1" ht="15" customHeight="1">
      <c r="A202" s="62" t="s">
        <v>47</v>
      </c>
      <c r="B202" s="63" t="s">
        <v>48</v>
      </c>
      <c r="C202" s="64">
        <v>321942</v>
      </c>
      <c r="D202" s="64">
        <v>0</v>
      </c>
      <c r="E202" s="65">
        <f>SUM(C202:D202)</f>
        <v>321942</v>
      </c>
      <c r="F202" s="66">
        <f>-5000-18550</f>
        <v>-23550</v>
      </c>
      <c r="G202" s="66">
        <v>0</v>
      </c>
      <c r="H202" s="65">
        <f>F202+G202</f>
        <v>-23550</v>
      </c>
      <c r="I202" s="65">
        <f>C202+F202</f>
        <v>298392</v>
      </c>
      <c r="J202" s="65">
        <f>D202+G202</f>
        <v>0</v>
      </c>
      <c r="K202" s="65">
        <f>E202+H202</f>
        <v>298392</v>
      </c>
    </row>
    <row r="203" spans="1:11" s="45" customFormat="1" ht="15" customHeight="1">
      <c r="A203" s="62" t="s">
        <v>58</v>
      </c>
      <c r="B203" s="68" t="s">
        <v>59</v>
      </c>
      <c r="C203" s="64">
        <v>85000</v>
      </c>
      <c r="D203" s="64">
        <v>0</v>
      </c>
      <c r="E203" s="65">
        <f t="shared" si="58"/>
        <v>85000</v>
      </c>
      <c r="F203" s="66">
        <f>-50000</f>
        <v>-50000</v>
      </c>
      <c r="G203" s="66">
        <v>0</v>
      </c>
      <c r="H203" s="65">
        <f t="shared" si="59"/>
        <v>-50000</v>
      </c>
      <c r="I203" s="65">
        <f t="shared" si="60"/>
        <v>35000</v>
      </c>
      <c r="J203" s="65">
        <f t="shared" si="60"/>
        <v>0</v>
      </c>
      <c r="K203" s="65">
        <f t="shared" si="60"/>
        <v>35000</v>
      </c>
    </row>
    <row r="204" spans="1:11" s="45" customFormat="1" ht="15" customHeight="1">
      <c r="A204" s="53">
        <v>90013</v>
      </c>
      <c r="B204" s="54" t="s">
        <v>133</v>
      </c>
      <c r="C204" s="55">
        <v>202240</v>
      </c>
      <c r="D204" s="55">
        <v>0</v>
      </c>
      <c r="E204" s="56">
        <f>SUM(C204:D204)</f>
        <v>202240</v>
      </c>
      <c r="F204" s="57">
        <f>SUM(F205:F205)</f>
        <v>-45000</v>
      </c>
      <c r="G204" s="57">
        <v>0</v>
      </c>
      <c r="H204" s="56">
        <f>F204+G204</f>
        <v>-45000</v>
      </c>
      <c r="I204" s="56">
        <f t="shared" si="60"/>
        <v>157240</v>
      </c>
      <c r="J204" s="56">
        <f t="shared" si="60"/>
        <v>0</v>
      </c>
      <c r="K204" s="56">
        <f t="shared" si="60"/>
        <v>157240</v>
      </c>
    </row>
    <row r="205" spans="1:11" s="45" customFormat="1" ht="15" customHeight="1">
      <c r="A205" s="62" t="s">
        <v>58</v>
      </c>
      <c r="B205" s="63" t="s">
        <v>59</v>
      </c>
      <c r="C205" s="64">
        <v>50000</v>
      </c>
      <c r="D205" s="64">
        <v>0</v>
      </c>
      <c r="E205" s="65">
        <f>SUM(C205:D205)</f>
        <v>50000</v>
      </c>
      <c r="F205" s="66">
        <f>-45000</f>
        <v>-45000</v>
      </c>
      <c r="G205" s="66">
        <v>0</v>
      </c>
      <c r="H205" s="65">
        <f>F205+G205</f>
        <v>-45000</v>
      </c>
      <c r="I205" s="65">
        <f t="shared" si="60"/>
        <v>5000</v>
      </c>
      <c r="J205" s="65">
        <f t="shared" si="60"/>
        <v>0</v>
      </c>
      <c r="K205" s="65">
        <f t="shared" si="60"/>
        <v>5000</v>
      </c>
    </row>
    <row r="206" spans="1:11" s="7" customFormat="1" ht="15" customHeight="1">
      <c r="A206" s="22">
        <v>90015</v>
      </c>
      <c r="B206" s="7" t="s">
        <v>132</v>
      </c>
      <c r="C206" s="23">
        <v>2610715</v>
      </c>
      <c r="D206" s="23">
        <v>0</v>
      </c>
      <c r="E206" s="24">
        <f>SUM(C206:D206)</f>
        <v>2610715</v>
      </c>
      <c r="F206" s="23">
        <f>SUM(F207:F207)</f>
        <v>-280000</v>
      </c>
      <c r="G206" s="23">
        <v>0</v>
      </c>
      <c r="H206" s="24">
        <f t="shared" si="59"/>
        <v>-280000</v>
      </c>
      <c r="I206" s="24">
        <f t="shared" si="60"/>
        <v>2330715</v>
      </c>
      <c r="J206" s="24">
        <f t="shared" si="60"/>
        <v>0</v>
      </c>
      <c r="K206" s="24">
        <f t="shared" si="60"/>
        <v>2330715</v>
      </c>
    </row>
    <row r="207" spans="1:11" s="13" customFormat="1" ht="15" customHeight="1">
      <c r="A207" s="38" t="s">
        <v>58</v>
      </c>
      <c r="B207" s="13" t="s">
        <v>59</v>
      </c>
      <c r="C207" s="39">
        <v>500000</v>
      </c>
      <c r="D207" s="39">
        <v>0</v>
      </c>
      <c r="E207" s="40">
        <f>SUM(C207:D207)</f>
        <v>500000</v>
      </c>
      <c r="F207" s="39">
        <f>-280000</f>
        <v>-280000</v>
      </c>
      <c r="G207" s="39">
        <v>0</v>
      </c>
      <c r="H207" s="40">
        <f t="shared" si="59"/>
        <v>-280000</v>
      </c>
      <c r="I207" s="40">
        <f t="shared" si="60"/>
        <v>220000</v>
      </c>
      <c r="J207" s="40">
        <f t="shared" si="60"/>
        <v>0</v>
      </c>
      <c r="K207" s="40">
        <f t="shared" si="60"/>
        <v>220000</v>
      </c>
    </row>
    <row r="208" spans="1:11" s="45" customFormat="1" ht="15" customHeight="1">
      <c r="A208" s="53">
        <v>90095</v>
      </c>
      <c r="B208" s="54" t="s">
        <v>31</v>
      </c>
      <c r="C208" s="55">
        <v>6596436</v>
      </c>
      <c r="D208" s="55">
        <v>250000</v>
      </c>
      <c r="E208" s="56">
        <f t="shared" si="58"/>
        <v>6846436</v>
      </c>
      <c r="F208" s="57">
        <f>SUM(F209:F218)</f>
        <v>-506541</v>
      </c>
      <c r="G208" s="57">
        <f>SUM(G212:G218)</f>
        <v>-250000</v>
      </c>
      <c r="H208" s="56">
        <f t="shared" si="59"/>
        <v>-756541</v>
      </c>
      <c r="I208" s="56">
        <f t="shared" si="60"/>
        <v>6089895</v>
      </c>
      <c r="J208" s="56">
        <f t="shared" si="60"/>
        <v>0</v>
      </c>
      <c r="K208" s="56">
        <f t="shared" si="60"/>
        <v>6089895</v>
      </c>
    </row>
    <row r="209" spans="1:11" s="10" customFormat="1" ht="15" customHeight="1">
      <c r="A209" s="25" t="s">
        <v>44</v>
      </c>
      <c r="B209" s="10" t="s">
        <v>45</v>
      </c>
      <c r="C209" s="26">
        <v>69930</v>
      </c>
      <c r="D209" s="26">
        <v>0</v>
      </c>
      <c r="E209" s="27">
        <f t="shared" si="58"/>
        <v>69930</v>
      </c>
      <c r="F209" s="26">
        <v>-1978</v>
      </c>
      <c r="G209" s="26">
        <v>0</v>
      </c>
      <c r="H209" s="27">
        <f t="shared" si="59"/>
        <v>-1978</v>
      </c>
      <c r="I209" s="27">
        <f t="shared" si="60"/>
        <v>67952</v>
      </c>
      <c r="J209" s="27">
        <f t="shared" si="60"/>
        <v>0</v>
      </c>
      <c r="K209" s="27">
        <f t="shared" si="60"/>
        <v>67952</v>
      </c>
    </row>
    <row r="210" spans="1:11" s="74" customFormat="1" ht="15" customHeight="1">
      <c r="A210" s="62" t="s">
        <v>72</v>
      </c>
      <c r="B210" s="63" t="s">
        <v>73</v>
      </c>
      <c r="C210" s="66">
        <v>116000</v>
      </c>
      <c r="D210" s="66">
        <v>0</v>
      </c>
      <c r="E210" s="65">
        <f t="shared" si="58"/>
        <v>116000</v>
      </c>
      <c r="F210" s="66">
        <f>3000+4784-20000</f>
        <v>-12216</v>
      </c>
      <c r="G210" s="66">
        <v>0</v>
      </c>
      <c r="H210" s="65">
        <f t="shared" si="59"/>
        <v>-12216</v>
      </c>
      <c r="I210" s="65">
        <f t="shared" si="60"/>
        <v>103784</v>
      </c>
      <c r="J210" s="65">
        <f t="shared" si="60"/>
        <v>0</v>
      </c>
      <c r="K210" s="65">
        <f>E210+H210</f>
        <v>103784</v>
      </c>
    </row>
    <row r="211" spans="1:11" s="74" customFormat="1" ht="15" customHeight="1">
      <c r="A211" s="62" t="s">
        <v>55</v>
      </c>
      <c r="B211" s="63" t="s">
        <v>56</v>
      </c>
      <c r="C211" s="64">
        <v>83000</v>
      </c>
      <c r="D211" s="64">
        <v>0</v>
      </c>
      <c r="E211" s="65">
        <f t="shared" si="58"/>
        <v>83000</v>
      </c>
      <c r="F211" s="66">
        <f>2897</f>
        <v>2897</v>
      </c>
      <c r="G211" s="66">
        <v>0</v>
      </c>
      <c r="H211" s="65">
        <f t="shared" si="59"/>
        <v>2897</v>
      </c>
      <c r="I211" s="65">
        <f t="shared" si="60"/>
        <v>85897</v>
      </c>
      <c r="J211" s="65">
        <f t="shared" si="60"/>
        <v>0</v>
      </c>
      <c r="K211" s="65">
        <f>E211+H211</f>
        <v>85897</v>
      </c>
    </row>
    <row r="212" spans="1:11" s="45" customFormat="1" ht="15" customHeight="1">
      <c r="A212" s="62" t="s">
        <v>47</v>
      </c>
      <c r="B212" s="63" t="s">
        <v>48</v>
      </c>
      <c r="C212" s="64">
        <v>1176054</v>
      </c>
      <c r="D212" s="64">
        <v>0</v>
      </c>
      <c r="E212" s="65">
        <f t="shared" si="58"/>
        <v>1176054</v>
      </c>
      <c r="F212" s="66">
        <f>8390+4205-35000-4839</f>
        <v>-27244</v>
      </c>
      <c r="G212" s="66">
        <v>0</v>
      </c>
      <c r="H212" s="65">
        <f t="shared" si="59"/>
        <v>-27244</v>
      </c>
      <c r="I212" s="65">
        <f t="shared" si="60"/>
        <v>1148810</v>
      </c>
      <c r="J212" s="65">
        <f t="shared" si="60"/>
        <v>0</v>
      </c>
      <c r="K212" s="65">
        <f t="shared" si="60"/>
        <v>1148810</v>
      </c>
    </row>
    <row r="213" spans="1:11" s="45" customFormat="1" ht="15" customHeight="1">
      <c r="A213" s="62" t="s">
        <v>107</v>
      </c>
      <c r="B213" s="63" t="s">
        <v>156</v>
      </c>
      <c r="C213" s="64">
        <v>197000</v>
      </c>
      <c r="D213" s="64">
        <v>0</v>
      </c>
      <c r="E213" s="65">
        <f>SUM(C213:D213)</f>
        <v>197000</v>
      </c>
      <c r="F213" s="66">
        <v>-1105</v>
      </c>
      <c r="G213" s="66">
        <v>0</v>
      </c>
      <c r="H213" s="65">
        <f>F213+G213</f>
        <v>-1105</v>
      </c>
      <c r="I213" s="65">
        <f t="shared" si="60"/>
        <v>195895</v>
      </c>
      <c r="J213" s="65">
        <f t="shared" si="60"/>
        <v>0</v>
      </c>
      <c r="K213" s="65">
        <f t="shared" si="60"/>
        <v>195895</v>
      </c>
    </row>
    <row r="214" spans="1:11" s="45" customFormat="1" ht="15" customHeight="1">
      <c r="A214" s="62" t="s">
        <v>27</v>
      </c>
      <c r="B214" s="63" t="s">
        <v>161</v>
      </c>
      <c r="C214" s="64">
        <v>65000</v>
      </c>
      <c r="D214" s="64">
        <v>0</v>
      </c>
      <c r="E214" s="65">
        <f>SUM(C214:D214)</f>
        <v>65000</v>
      </c>
      <c r="F214" s="66">
        <v>-20000</v>
      </c>
      <c r="G214" s="66">
        <v>0</v>
      </c>
      <c r="H214" s="65">
        <f>F214+G214</f>
        <v>-20000</v>
      </c>
      <c r="I214" s="65">
        <f aca="true" t="shared" si="61" ref="I214:K216">C214+F214</f>
        <v>45000</v>
      </c>
      <c r="J214" s="65">
        <f t="shared" si="61"/>
        <v>0</v>
      </c>
      <c r="K214" s="65">
        <f t="shared" si="61"/>
        <v>45000</v>
      </c>
    </row>
    <row r="215" spans="1:11" s="45" customFormat="1" ht="15" customHeight="1">
      <c r="A215" s="62" t="s">
        <v>157</v>
      </c>
      <c r="B215" s="63" t="s">
        <v>163</v>
      </c>
      <c r="C215" s="64">
        <v>0</v>
      </c>
      <c r="D215" s="64">
        <v>0</v>
      </c>
      <c r="E215" s="65">
        <f>SUM(C215:D215)</f>
        <v>0</v>
      </c>
      <c r="F215" s="66">
        <v>1105</v>
      </c>
      <c r="G215" s="66">
        <v>0</v>
      </c>
      <c r="H215" s="65">
        <f>F215+G215</f>
        <v>1105</v>
      </c>
      <c r="I215" s="65">
        <f>C215+F215</f>
        <v>1105</v>
      </c>
      <c r="J215" s="65">
        <f>D215+G215</f>
        <v>0</v>
      </c>
      <c r="K215" s="65">
        <f>E215+H215</f>
        <v>1105</v>
      </c>
    </row>
    <row r="216" spans="1:11" s="32" customFormat="1" ht="15" customHeight="1">
      <c r="A216" s="31" t="s">
        <v>92</v>
      </c>
      <c r="B216" s="32" t="s">
        <v>93</v>
      </c>
      <c r="C216" s="26">
        <v>0</v>
      </c>
      <c r="D216" s="26">
        <v>0</v>
      </c>
      <c r="E216" s="27">
        <f>SUM(C216:D216)</f>
        <v>0</v>
      </c>
      <c r="F216" s="33">
        <v>150000</v>
      </c>
      <c r="G216" s="33">
        <v>0</v>
      </c>
      <c r="H216" s="27">
        <f>F216+G216</f>
        <v>150000</v>
      </c>
      <c r="I216" s="27">
        <f t="shared" si="61"/>
        <v>150000</v>
      </c>
      <c r="J216" s="27">
        <f t="shared" si="61"/>
        <v>0</v>
      </c>
      <c r="K216" s="27">
        <f t="shared" si="61"/>
        <v>150000</v>
      </c>
    </row>
    <row r="217" spans="1:11" s="45" customFormat="1" ht="15" customHeight="1">
      <c r="A217" s="62" t="s">
        <v>58</v>
      </c>
      <c r="B217" s="63" t="s">
        <v>59</v>
      </c>
      <c r="C217" s="64">
        <v>4438946</v>
      </c>
      <c r="D217" s="64">
        <v>0</v>
      </c>
      <c r="E217" s="65">
        <f t="shared" si="58"/>
        <v>4438946</v>
      </c>
      <c r="F217" s="66">
        <f>-498000-100000</f>
        <v>-598000</v>
      </c>
      <c r="G217" s="66">
        <v>0</v>
      </c>
      <c r="H217" s="65">
        <f t="shared" si="59"/>
        <v>-598000</v>
      </c>
      <c r="I217" s="65">
        <f t="shared" si="60"/>
        <v>3840946</v>
      </c>
      <c r="J217" s="65">
        <f t="shared" si="60"/>
        <v>0</v>
      </c>
      <c r="K217" s="65">
        <f t="shared" si="60"/>
        <v>3840946</v>
      </c>
    </row>
    <row r="218" spans="1:11" s="76" customFormat="1" ht="15" customHeight="1">
      <c r="A218" s="58" t="s">
        <v>117</v>
      </c>
      <c r="B218" s="59" t="s">
        <v>134</v>
      </c>
      <c r="C218" s="70">
        <v>0</v>
      </c>
      <c r="D218" s="70">
        <v>250000</v>
      </c>
      <c r="E218" s="61">
        <f t="shared" si="58"/>
        <v>250000</v>
      </c>
      <c r="F218" s="60">
        <f>0</f>
        <v>0</v>
      </c>
      <c r="G218" s="60">
        <f>-250000</f>
        <v>-250000</v>
      </c>
      <c r="H218" s="61">
        <f t="shared" si="59"/>
        <v>-250000</v>
      </c>
      <c r="I218" s="61">
        <f t="shared" si="60"/>
        <v>0</v>
      </c>
      <c r="J218" s="61">
        <f t="shared" si="60"/>
        <v>0</v>
      </c>
      <c r="K218" s="61">
        <f t="shared" si="60"/>
        <v>0</v>
      </c>
    </row>
    <row r="219" spans="1:11" s="74" customFormat="1" ht="29.25" customHeight="1">
      <c r="A219" s="62"/>
      <c r="B219" s="63"/>
      <c r="C219" s="64"/>
      <c r="D219" s="64"/>
      <c r="E219" s="65"/>
      <c r="F219" s="66"/>
      <c r="G219" s="66"/>
      <c r="H219" s="65"/>
      <c r="I219" s="65"/>
      <c r="J219" s="65"/>
      <c r="K219" s="65"/>
    </row>
    <row r="220" spans="1:11" s="36" customFormat="1" ht="15" customHeight="1">
      <c r="A220" s="3" t="s">
        <v>35</v>
      </c>
      <c r="B220" s="15" t="s">
        <v>36</v>
      </c>
      <c r="C220" s="16">
        <v>1778420</v>
      </c>
      <c r="D220" s="16">
        <v>156000</v>
      </c>
      <c r="E220" s="6">
        <f t="shared" si="58"/>
        <v>1934420</v>
      </c>
      <c r="F220" s="16">
        <f>F223+F227+F225</f>
        <v>48000</v>
      </c>
      <c r="G220" s="16">
        <f>G227</f>
        <v>0</v>
      </c>
      <c r="H220" s="6">
        <f t="shared" si="59"/>
        <v>48000</v>
      </c>
      <c r="I220" s="6">
        <f>C220+F220</f>
        <v>1826420</v>
      </c>
      <c r="J220" s="6">
        <f>D220+G220</f>
        <v>156000</v>
      </c>
      <c r="K220" s="6">
        <f>E220+H220</f>
        <v>1982420</v>
      </c>
    </row>
    <row r="221" spans="1:11" s="34" customFormat="1" ht="15" customHeight="1">
      <c r="A221" s="14"/>
      <c r="B221" s="17" t="s">
        <v>10</v>
      </c>
      <c r="C221" s="18"/>
      <c r="D221" s="18"/>
      <c r="E221" s="9"/>
      <c r="F221" s="18"/>
      <c r="G221" s="18"/>
      <c r="H221" s="9"/>
      <c r="I221" s="9"/>
      <c r="J221" s="9"/>
      <c r="K221" s="9"/>
    </row>
    <row r="222" spans="1:11" s="37" customFormat="1" ht="15" customHeight="1">
      <c r="A222" s="19"/>
      <c r="B222" s="11" t="s">
        <v>164</v>
      </c>
      <c r="C222" s="21">
        <v>450000</v>
      </c>
      <c r="D222" s="21">
        <v>150000</v>
      </c>
      <c r="E222" s="12">
        <f aca="true" t="shared" si="62" ref="E222:E234">SUM(C222:D222)</f>
        <v>600000</v>
      </c>
      <c r="F222" s="21">
        <f>F224+F233</f>
        <v>0</v>
      </c>
      <c r="G222" s="21">
        <f>G233</f>
        <v>0</v>
      </c>
      <c r="H222" s="12">
        <f aca="true" t="shared" si="63" ref="H222:H234">F222+G222</f>
        <v>0</v>
      </c>
      <c r="I222" s="12">
        <f aca="true" t="shared" si="64" ref="I222:K233">C222+F222</f>
        <v>450000</v>
      </c>
      <c r="J222" s="12">
        <f t="shared" si="64"/>
        <v>150000</v>
      </c>
      <c r="K222" s="12">
        <f t="shared" si="64"/>
        <v>600000</v>
      </c>
    </row>
    <row r="223" spans="1:11" s="29" customFormat="1" ht="15" customHeight="1">
      <c r="A223" s="28">
        <v>92105</v>
      </c>
      <c r="B223" s="29" t="s">
        <v>97</v>
      </c>
      <c r="C223" s="23">
        <v>316000</v>
      </c>
      <c r="D223" s="23">
        <v>0</v>
      </c>
      <c r="E223" s="24">
        <f t="shared" si="62"/>
        <v>316000</v>
      </c>
      <c r="F223" s="30">
        <f>SUM(F224:F224)</f>
        <v>-37000</v>
      </c>
      <c r="G223" s="30">
        <f>SUM(G224:G224)</f>
        <v>0</v>
      </c>
      <c r="H223" s="24">
        <f t="shared" si="63"/>
        <v>-37000</v>
      </c>
      <c r="I223" s="24">
        <f t="shared" si="64"/>
        <v>279000</v>
      </c>
      <c r="J223" s="24">
        <f t="shared" si="64"/>
        <v>0</v>
      </c>
      <c r="K223" s="24">
        <f t="shared" si="64"/>
        <v>279000</v>
      </c>
    </row>
    <row r="224" spans="1:11" s="32" customFormat="1" ht="15" customHeight="1">
      <c r="A224" s="31" t="s">
        <v>58</v>
      </c>
      <c r="B224" s="32" t="s">
        <v>59</v>
      </c>
      <c r="C224" s="26">
        <v>187000</v>
      </c>
      <c r="D224" s="26">
        <v>0</v>
      </c>
      <c r="E224" s="27">
        <f t="shared" si="62"/>
        <v>187000</v>
      </c>
      <c r="F224" s="33">
        <f>-37000</f>
        <v>-37000</v>
      </c>
      <c r="G224" s="33">
        <v>0</v>
      </c>
      <c r="H224" s="27">
        <f t="shared" si="63"/>
        <v>-37000</v>
      </c>
      <c r="I224" s="27">
        <f t="shared" si="64"/>
        <v>150000</v>
      </c>
      <c r="J224" s="27">
        <f t="shared" si="64"/>
        <v>0</v>
      </c>
      <c r="K224" s="27">
        <f t="shared" si="64"/>
        <v>150000</v>
      </c>
    </row>
    <row r="225" spans="1:11" s="29" customFormat="1" ht="15" customHeight="1">
      <c r="A225" s="28">
        <v>92109</v>
      </c>
      <c r="B225" s="29" t="s">
        <v>165</v>
      </c>
      <c r="C225" s="23">
        <v>1026000</v>
      </c>
      <c r="D225" s="23">
        <v>0</v>
      </c>
      <c r="E225" s="24">
        <f>SUM(C225:D225)</f>
        <v>1026000</v>
      </c>
      <c r="F225" s="30">
        <f>SUM(F226:F226)</f>
        <v>10000</v>
      </c>
      <c r="G225" s="30">
        <f>SUM(G226:G226)</f>
        <v>0</v>
      </c>
      <c r="H225" s="24">
        <f>F225+G225</f>
        <v>10000</v>
      </c>
      <c r="I225" s="24">
        <f aca="true" t="shared" si="65" ref="I225:K226">C225+F225</f>
        <v>1036000</v>
      </c>
      <c r="J225" s="24">
        <f t="shared" si="65"/>
        <v>0</v>
      </c>
      <c r="K225" s="24">
        <f t="shared" si="65"/>
        <v>1036000</v>
      </c>
    </row>
    <row r="226" spans="1:11" s="32" customFormat="1" ht="15" customHeight="1">
      <c r="A226" s="31" t="s">
        <v>55</v>
      </c>
      <c r="B226" s="32" t="s">
        <v>56</v>
      </c>
      <c r="C226" s="26">
        <v>0</v>
      </c>
      <c r="D226" s="26">
        <v>0</v>
      </c>
      <c r="E226" s="27">
        <f>SUM(C226:D226)</f>
        <v>0</v>
      </c>
      <c r="F226" s="33">
        <v>10000</v>
      </c>
      <c r="G226" s="33">
        <v>0</v>
      </c>
      <c r="H226" s="27">
        <f>F226+G226</f>
        <v>10000</v>
      </c>
      <c r="I226" s="27">
        <f t="shared" si="65"/>
        <v>10000</v>
      </c>
      <c r="J226" s="27">
        <f t="shared" si="65"/>
        <v>0</v>
      </c>
      <c r="K226" s="27">
        <f t="shared" si="65"/>
        <v>10000</v>
      </c>
    </row>
    <row r="227" spans="1:11" s="29" customFormat="1" ht="15" customHeight="1">
      <c r="A227" s="28">
        <v>92195</v>
      </c>
      <c r="B227" s="29" t="s">
        <v>31</v>
      </c>
      <c r="C227" s="23">
        <v>436420</v>
      </c>
      <c r="D227" s="23">
        <v>156000</v>
      </c>
      <c r="E227" s="24">
        <f t="shared" si="62"/>
        <v>592420</v>
      </c>
      <c r="F227" s="30">
        <f>SUM(F228:F233)</f>
        <v>75000</v>
      </c>
      <c r="G227" s="30">
        <f>SUM(G233:G233)</f>
        <v>0</v>
      </c>
      <c r="H227" s="24">
        <f t="shared" si="63"/>
        <v>75000</v>
      </c>
      <c r="I227" s="24">
        <f t="shared" si="64"/>
        <v>511420</v>
      </c>
      <c r="J227" s="24">
        <f t="shared" si="64"/>
        <v>156000</v>
      </c>
      <c r="K227" s="24">
        <f t="shared" si="64"/>
        <v>667420</v>
      </c>
    </row>
    <row r="228" spans="1:11" s="45" customFormat="1" ht="15" customHeight="1">
      <c r="A228" s="62" t="s">
        <v>32</v>
      </c>
      <c r="B228" s="63" t="s">
        <v>145</v>
      </c>
      <c r="C228" s="66">
        <v>7950</v>
      </c>
      <c r="D228" s="66">
        <v>0</v>
      </c>
      <c r="E228" s="65">
        <f t="shared" si="62"/>
        <v>7950</v>
      </c>
      <c r="F228" s="66">
        <v>-2800</v>
      </c>
      <c r="G228" s="66">
        <v>0</v>
      </c>
      <c r="H228" s="65">
        <f t="shared" si="63"/>
        <v>-2800</v>
      </c>
      <c r="I228" s="65">
        <f t="shared" si="64"/>
        <v>5150</v>
      </c>
      <c r="J228" s="65">
        <f t="shared" si="64"/>
        <v>0</v>
      </c>
      <c r="K228" s="65">
        <f>E228+H228</f>
        <v>5150</v>
      </c>
    </row>
    <row r="229" spans="1:11" s="45" customFormat="1" ht="15" customHeight="1">
      <c r="A229" s="62" t="s">
        <v>141</v>
      </c>
      <c r="B229" s="63" t="s">
        <v>142</v>
      </c>
      <c r="C229" s="66">
        <v>12100</v>
      </c>
      <c r="D229" s="66">
        <v>0</v>
      </c>
      <c r="E229" s="65">
        <f t="shared" si="62"/>
        <v>12100</v>
      </c>
      <c r="F229" s="66">
        <v>-2000</v>
      </c>
      <c r="G229" s="66">
        <v>0</v>
      </c>
      <c r="H229" s="65">
        <f t="shared" si="63"/>
        <v>-2000</v>
      </c>
      <c r="I229" s="65">
        <f t="shared" si="64"/>
        <v>10100</v>
      </c>
      <c r="J229" s="65">
        <f t="shared" si="64"/>
        <v>0</v>
      </c>
      <c r="K229" s="65">
        <f>E229+H229</f>
        <v>10100</v>
      </c>
    </row>
    <row r="230" spans="1:11" s="45" customFormat="1" ht="15" customHeight="1">
      <c r="A230" s="62" t="s">
        <v>44</v>
      </c>
      <c r="B230" s="63" t="s">
        <v>45</v>
      </c>
      <c r="C230" s="66">
        <v>13000</v>
      </c>
      <c r="D230" s="66">
        <v>0</v>
      </c>
      <c r="E230" s="65">
        <f t="shared" si="62"/>
        <v>13000</v>
      </c>
      <c r="F230" s="66">
        <v>-5500</v>
      </c>
      <c r="G230" s="66">
        <v>0</v>
      </c>
      <c r="H230" s="65">
        <f t="shared" si="63"/>
        <v>-5500</v>
      </c>
      <c r="I230" s="65">
        <f t="shared" si="64"/>
        <v>7500</v>
      </c>
      <c r="J230" s="65">
        <f t="shared" si="64"/>
        <v>0</v>
      </c>
      <c r="K230" s="65">
        <f>E230+H230</f>
        <v>7500</v>
      </c>
    </row>
    <row r="231" spans="1:11" s="45" customFormat="1" ht="15" customHeight="1">
      <c r="A231" s="62" t="s">
        <v>33</v>
      </c>
      <c r="B231" s="63" t="s">
        <v>34</v>
      </c>
      <c r="C231" s="66">
        <v>14200</v>
      </c>
      <c r="D231" s="66">
        <v>0</v>
      </c>
      <c r="E231" s="65">
        <f t="shared" si="62"/>
        <v>14200</v>
      </c>
      <c r="F231" s="66">
        <v>-5000</v>
      </c>
      <c r="G231" s="66">
        <v>0</v>
      </c>
      <c r="H231" s="65">
        <f t="shared" si="63"/>
        <v>-5000</v>
      </c>
      <c r="I231" s="65">
        <f t="shared" si="64"/>
        <v>9200</v>
      </c>
      <c r="J231" s="65">
        <f t="shared" si="64"/>
        <v>0</v>
      </c>
      <c r="K231" s="65">
        <f>E231+H231</f>
        <v>9200</v>
      </c>
    </row>
    <row r="232" spans="1:11" s="45" customFormat="1" ht="15" customHeight="1">
      <c r="A232" s="62" t="s">
        <v>47</v>
      </c>
      <c r="B232" s="63" t="s">
        <v>48</v>
      </c>
      <c r="C232" s="66">
        <v>121970</v>
      </c>
      <c r="D232" s="66">
        <v>0</v>
      </c>
      <c r="E232" s="65">
        <f t="shared" si="62"/>
        <v>121970</v>
      </c>
      <c r="F232" s="66">
        <f>23300+30000</f>
        <v>53300</v>
      </c>
      <c r="G232" s="66">
        <v>0</v>
      </c>
      <c r="H232" s="65">
        <f t="shared" si="63"/>
        <v>53300</v>
      </c>
      <c r="I232" s="65">
        <f t="shared" si="64"/>
        <v>175270</v>
      </c>
      <c r="J232" s="65">
        <f t="shared" si="64"/>
        <v>0</v>
      </c>
      <c r="K232" s="65">
        <f>E232+H232</f>
        <v>175270</v>
      </c>
    </row>
    <row r="233" spans="1:11" s="32" customFormat="1" ht="15" customHeight="1">
      <c r="A233" s="31" t="s">
        <v>58</v>
      </c>
      <c r="B233" s="32" t="s">
        <v>59</v>
      </c>
      <c r="C233" s="26">
        <v>263000</v>
      </c>
      <c r="D233" s="26">
        <v>150000</v>
      </c>
      <c r="E233" s="27">
        <f t="shared" si="62"/>
        <v>413000</v>
      </c>
      <c r="F233" s="33">
        <f>37000</f>
        <v>37000</v>
      </c>
      <c r="G233" s="33">
        <v>0</v>
      </c>
      <c r="H233" s="27">
        <f t="shared" si="63"/>
        <v>37000</v>
      </c>
      <c r="I233" s="27">
        <f t="shared" si="64"/>
        <v>300000</v>
      </c>
      <c r="J233" s="27">
        <f t="shared" si="64"/>
        <v>150000</v>
      </c>
      <c r="K233" s="27">
        <f t="shared" si="64"/>
        <v>450000</v>
      </c>
    </row>
    <row r="234" spans="1:11" s="36" customFormat="1" ht="15" customHeight="1">
      <c r="A234" s="3" t="s">
        <v>146</v>
      </c>
      <c r="B234" s="15" t="s">
        <v>147</v>
      </c>
      <c r="C234" s="16">
        <v>5451006</v>
      </c>
      <c r="D234" s="16">
        <v>0</v>
      </c>
      <c r="E234" s="6">
        <f t="shared" si="62"/>
        <v>5451006</v>
      </c>
      <c r="F234" s="16">
        <f>F237+F251</f>
        <v>-842482</v>
      </c>
      <c r="G234" s="16">
        <f>G251</f>
        <v>0</v>
      </c>
      <c r="H234" s="6">
        <f t="shared" si="63"/>
        <v>-842482</v>
      </c>
      <c r="I234" s="6">
        <f>C234+F234</f>
        <v>4608524</v>
      </c>
      <c r="J234" s="6">
        <f>D234+G234</f>
        <v>0</v>
      </c>
      <c r="K234" s="6">
        <f>E234+H234</f>
        <v>4608524</v>
      </c>
    </row>
    <row r="235" spans="1:11" s="34" customFormat="1" ht="15" customHeight="1">
      <c r="A235" s="14"/>
      <c r="B235" s="17" t="s">
        <v>10</v>
      </c>
      <c r="C235" s="18"/>
      <c r="D235" s="18"/>
      <c r="E235" s="9"/>
      <c r="F235" s="18"/>
      <c r="G235" s="18"/>
      <c r="H235" s="9"/>
      <c r="I235" s="9"/>
      <c r="J235" s="9"/>
      <c r="K235" s="9"/>
    </row>
    <row r="236" spans="1:11" s="37" customFormat="1" ht="15" customHeight="1">
      <c r="A236" s="19"/>
      <c r="B236" s="11" t="s">
        <v>164</v>
      </c>
      <c r="C236" s="21">
        <v>243600</v>
      </c>
      <c r="D236" s="21">
        <v>0</v>
      </c>
      <c r="E236" s="12">
        <f>SUM(C236:D236)</f>
        <v>243600</v>
      </c>
      <c r="F236" s="21">
        <v>0</v>
      </c>
      <c r="G236" s="21">
        <v>0</v>
      </c>
      <c r="H236" s="12">
        <f>F236+G236</f>
        <v>0</v>
      </c>
      <c r="I236" s="12">
        <f aca="true" t="shared" si="66" ref="I236:K239">C236+F236</f>
        <v>243600</v>
      </c>
      <c r="J236" s="12">
        <f t="shared" si="66"/>
        <v>0</v>
      </c>
      <c r="K236" s="12">
        <f t="shared" si="66"/>
        <v>243600</v>
      </c>
    </row>
    <row r="237" spans="1:11" s="29" customFormat="1" ht="15" customHeight="1">
      <c r="A237" s="28">
        <v>92604</v>
      </c>
      <c r="B237" s="29" t="s">
        <v>158</v>
      </c>
      <c r="C237" s="23">
        <v>4101847</v>
      </c>
      <c r="D237" s="23">
        <v>0</v>
      </c>
      <c r="E237" s="24">
        <f aca="true" t="shared" si="67" ref="E237:E247">SUM(C237:D237)</f>
        <v>4101847</v>
      </c>
      <c r="F237" s="30">
        <f>SUM(F238:F249)</f>
        <v>-857871</v>
      </c>
      <c r="G237" s="30">
        <v>0</v>
      </c>
      <c r="H237" s="24">
        <f aca="true" t="shared" si="68" ref="H237:H248">F237+G237</f>
        <v>-857871</v>
      </c>
      <c r="I237" s="24">
        <f t="shared" si="66"/>
        <v>3243976</v>
      </c>
      <c r="J237" s="24">
        <f t="shared" si="66"/>
        <v>0</v>
      </c>
      <c r="K237" s="24">
        <f t="shared" si="66"/>
        <v>3243976</v>
      </c>
    </row>
    <row r="238" spans="1:11" s="63" customFormat="1" ht="15" customHeight="1">
      <c r="A238" s="62" t="s">
        <v>125</v>
      </c>
      <c r="B238" s="63" t="s">
        <v>126</v>
      </c>
      <c r="C238" s="64">
        <v>16000</v>
      </c>
      <c r="D238" s="64">
        <v>0</v>
      </c>
      <c r="E238" s="65">
        <f t="shared" si="67"/>
        <v>16000</v>
      </c>
      <c r="F238" s="66">
        <v>-10000</v>
      </c>
      <c r="G238" s="66">
        <v>0</v>
      </c>
      <c r="H238" s="65">
        <f t="shared" si="68"/>
        <v>-10000</v>
      </c>
      <c r="I238" s="65">
        <f t="shared" si="66"/>
        <v>6000</v>
      </c>
      <c r="J238" s="65">
        <f t="shared" si="66"/>
        <v>0</v>
      </c>
      <c r="K238" s="65">
        <f t="shared" si="66"/>
        <v>6000</v>
      </c>
    </row>
    <row r="239" spans="1:11" s="63" customFormat="1" ht="15" customHeight="1">
      <c r="A239" s="62" t="s">
        <v>68</v>
      </c>
      <c r="B239" s="63" t="s">
        <v>69</v>
      </c>
      <c r="C239" s="64">
        <v>1370000</v>
      </c>
      <c r="D239" s="64">
        <v>0</v>
      </c>
      <c r="E239" s="65">
        <f t="shared" si="67"/>
        <v>1370000</v>
      </c>
      <c r="F239" s="66">
        <v>60641</v>
      </c>
      <c r="G239" s="66">
        <v>0</v>
      </c>
      <c r="H239" s="65">
        <f t="shared" si="68"/>
        <v>60641</v>
      </c>
      <c r="I239" s="65">
        <f t="shared" si="66"/>
        <v>1430641</v>
      </c>
      <c r="J239" s="65">
        <f t="shared" si="66"/>
        <v>0</v>
      </c>
      <c r="K239" s="65">
        <f t="shared" si="66"/>
        <v>1430641</v>
      </c>
    </row>
    <row r="240" spans="1:11" s="63" customFormat="1" ht="15" customHeight="1">
      <c r="A240" s="62" t="s">
        <v>53</v>
      </c>
      <c r="B240" s="63" t="s">
        <v>70</v>
      </c>
      <c r="C240" s="64">
        <v>104519</v>
      </c>
      <c r="D240" s="64">
        <v>0</v>
      </c>
      <c r="E240" s="65">
        <f t="shared" si="67"/>
        <v>104519</v>
      </c>
      <c r="F240" s="66">
        <v>-10815</v>
      </c>
      <c r="G240" s="66">
        <v>0</v>
      </c>
      <c r="H240" s="65">
        <f t="shared" si="68"/>
        <v>-10815</v>
      </c>
      <c r="I240" s="65">
        <f aca="true" t="shared" si="69" ref="I240:I248">C240+F240</f>
        <v>93704</v>
      </c>
      <c r="J240" s="65">
        <f aca="true" t="shared" si="70" ref="J240:J248">D240+G240</f>
        <v>0</v>
      </c>
      <c r="K240" s="65">
        <f>E240+H240</f>
        <v>93704</v>
      </c>
    </row>
    <row r="241" spans="1:11" s="68" customFormat="1" ht="15" customHeight="1">
      <c r="A241" s="62" t="s">
        <v>40</v>
      </c>
      <c r="B241" s="63" t="s">
        <v>54</v>
      </c>
      <c r="C241" s="66">
        <v>243000</v>
      </c>
      <c r="D241" s="66">
        <v>0</v>
      </c>
      <c r="E241" s="65">
        <f t="shared" si="67"/>
        <v>243000</v>
      </c>
      <c r="F241" s="66">
        <v>12237</v>
      </c>
      <c r="G241" s="66">
        <v>0</v>
      </c>
      <c r="H241" s="65">
        <f t="shared" si="68"/>
        <v>12237</v>
      </c>
      <c r="I241" s="65">
        <f t="shared" si="69"/>
        <v>255237</v>
      </c>
      <c r="J241" s="65">
        <f t="shared" si="70"/>
        <v>0</v>
      </c>
      <c r="K241" s="65">
        <f>E241+H241</f>
        <v>255237</v>
      </c>
    </row>
    <row r="242" spans="1:11" s="68" customFormat="1" ht="15" customHeight="1">
      <c r="A242" s="62" t="s">
        <v>33</v>
      </c>
      <c r="B242" s="63" t="s">
        <v>34</v>
      </c>
      <c r="C242" s="66">
        <v>429724</v>
      </c>
      <c r="D242" s="66">
        <v>0</v>
      </c>
      <c r="E242" s="65">
        <f t="shared" si="67"/>
        <v>429724</v>
      </c>
      <c r="F242" s="66">
        <v>-225593</v>
      </c>
      <c r="G242" s="66">
        <v>0</v>
      </c>
      <c r="H242" s="65">
        <f t="shared" si="68"/>
        <v>-225593</v>
      </c>
      <c r="I242" s="65">
        <f t="shared" si="69"/>
        <v>204131</v>
      </c>
      <c r="J242" s="65">
        <f t="shared" si="70"/>
        <v>0</v>
      </c>
      <c r="K242" s="65">
        <f>E242+H242</f>
        <v>204131</v>
      </c>
    </row>
    <row r="243" spans="1:11" s="68" customFormat="1" ht="15" customHeight="1">
      <c r="A243" s="62" t="s">
        <v>72</v>
      </c>
      <c r="B243" s="63" t="s">
        <v>73</v>
      </c>
      <c r="C243" s="64">
        <v>946000</v>
      </c>
      <c r="D243" s="64">
        <v>0</v>
      </c>
      <c r="E243" s="65">
        <f t="shared" si="67"/>
        <v>946000</v>
      </c>
      <c r="F243" s="66">
        <v>-423447</v>
      </c>
      <c r="G243" s="66">
        <v>0</v>
      </c>
      <c r="H243" s="65">
        <f t="shared" si="68"/>
        <v>-423447</v>
      </c>
      <c r="I243" s="65">
        <f t="shared" si="69"/>
        <v>522553</v>
      </c>
      <c r="J243" s="65">
        <f t="shared" si="70"/>
        <v>0</v>
      </c>
      <c r="K243" s="65">
        <f aca="true" t="shared" si="71" ref="K243:K253">E243+H243</f>
        <v>522553</v>
      </c>
    </row>
    <row r="244" spans="1:11" s="68" customFormat="1" ht="15" customHeight="1">
      <c r="A244" s="62" t="s">
        <v>55</v>
      </c>
      <c r="B244" s="63" t="s">
        <v>56</v>
      </c>
      <c r="C244" s="64">
        <v>317240</v>
      </c>
      <c r="D244" s="64">
        <v>0</v>
      </c>
      <c r="E244" s="65">
        <f t="shared" si="67"/>
        <v>317240</v>
      </c>
      <c r="F244" s="66">
        <v>-85000</v>
      </c>
      <c r="G244" s="66">
        <v>0</v>
      </c>
      <c r="H244" s="65">
        <f t="shared" si="68"/>
        <v>-85000</v>
      </c>
      <c r="I244" s="65">
        <f t="shared" si="69"/>
        <v>232240</v>
      </c>
      <c r="J244" s="65">
        <f t="shared" si="70"/>
        <v>0</v>
      </c>
      <c r="K244" s="65">
        <f t="shared" si="71"/>
        <v>232240</v>
      </c>
    </row>
    <row r="245" spans="1:11" s="68" customFormat="1" ht="15" customHeight="1">
      <c r="A245" s="62" t="s">
        <v>47</v>
      </c>
      <c r="B245" s="63" t="s">
        <v>48</v>
      </c>
      <c r="C245" s="66">
        <v>238641</v>
      </c>
      <c r="D245" s="66">
        <v>0</v>
      </c>
      <c r="E245" s="65">
        <f t="shared" si="67"/>
        <v>238641</v>
      </c>
      <c r="F245" s="66">
        <v>-130641</v>
      </c>
      <c r="G245" s="66">
        <v>0</v>
      </c>
      <c r="H245" s="65">
        <f t="shared" si="68"/>
        <v>-130641</v>
      </c>
      <c r="I245" s="65">
        <f t="shared" si="69"/>
        <v>108000</v>
      </c>
      <c r="J245" s="65">
        <f t="shared" si="70"/>
        <v>0</v>
      </c>
      <c r="K245" s="65">
        <f t="shared" si="71"/>
        <v>108000</v>
      </c>
    </row>
    <row r="246" spans="1:11" s="68" customFormat="1" ht="15" customHeight="1">
      <c r="A246" s="67" t="s">
        <v>78</v>
      </c>
      <c r="B246" s="68" t="s">
        <v>79</v>
      </c>
      <c r="C246" s="64">
        <v>8000</v>
      </c>
      <c r="D246" s="64">
        <v>0</v>
      </c>
      <c r="E246" s="65">
        <f>SUM(C246:D246)</f>
        <v>8000</v>
      </c>
      <c r="F246" s="66">
        <v>-6000</v>
      </c>
      <c r="G246" s="66">
        <v>0</v>
      </c>
      <c r="H246" s="65">
        <f>F246+G246</f>
        <v>-6000</v>
      </c>
      <c r="I246" s="65">
        <f>C246+F246</f>
        <v>2000</v>
      </c>
      <c r="J246" s="65">
        <f>D246+G246</f>
        <v>0</v>
      </c>
      <c r="K246" s="65">
        <f t="shared" si="71"/>
        <v>2000</v>
      </c>
    </row>
    <row r="247" spans="1:11" s="68" customFormat="1" ht="15" customHeight="1">
      <c r="A247" s="67" t="s">
        <v>107</v>
      </c>
      <c r="B247" s="68" t="s">
        <v>129</v>
      </c>
      <c r="C247" s="64">
        <v>44942</v>
      </c>
      <c r="D247" s="64">
        <v>0</v>
      </c>
      <c r="E247" s="65">
        <f t="shared" si="67"/>
        <v>44942</v>
      </c>
      <c r="F247" s="66">
        <v>-24000</v>
      </c>
      <c r="G247" s="66">
        <v>0</v>
      </c>
      <c r="H247" s="65">
        <f t="shared" si="68"/>
        <v>-24000</v>
      </c>
      <c r="I247" s="65">
        <f t="shared" si="69"/>
        <v>20942</v>
      </c>
      <c r="J247" s="65">
        <f t="shared" si="70"/>
        <v>0</v>
      </c>
      <c r="K247" s="65">
        <f t="shared" si="71"/>
        <v>20942</v>
      </c>
    </row>
    <row r="248" spans="1:11" s="68" customFormat="1" ht="15" customHeight="1">
      <c r="A248" s="67" t="s">
        <v>52</v>
      </c>
      <c r="B248" s="68" t="s">
        <v>76</v>
      </c>
      <c r="C248" s="64">
        <v>54400</v>
      </c>
      <c r="D248" s="64">
        <v>0</v>
      </c>
      <c r="E248" s="65">
        <f>SUM(C248:D248)</f>
        <v>54400</v>
      </c>
      <c r="F248" s="66">
        <v>-1122</v>
      </c>
      <c r="G248" s="66">
        <v>0</v>
      </c>
      <c r="H248" s="65">
        <f t="shared" si="68"/>
        <v>-1122</v>
      </c>
      <c r="I248" s="65">
        <f t="shared" si="69"/>
        <v>53278</v>
      </c>
      <c r="J248" s="65">
        <f t="shared" si="70"/>
        <v>0</v>
      </c>
      <c r="K248" s="65">
        <f t="shared" si="71"/>
        <v>53278</v>
      </c>
    </row>
    <row r="249" spans="1:11" s="73" customFormat="1" ht="15" customHeight="1">
      <c r="A249" s="72" t="s">
        <v>159</v>
      </c>
      <c r="B249" s="73" t="s">
        <v>160</v>
      </c>
      <c r="C249" s="70">
        <v>84781</v>
      </c>
      <c r="D249" s="70">
        <v>0</v>
      </c>
      <c r="E249" s="61">
        <f>SUM(C249:D249)</f>
        <v>84781</v>
      </c>
      <c r="F249" s="60">
        <v>-14131</v>
      </c>
      <c r="G249" s="60">
        <v>0</v>
      </c>
      <c r="H249" s="61">
        <f>F249+G249</f>
        <v>-14131</v>
      </c>
      <c r="I249" s="61">
        <f aca="true" t="shared" si="72" ref="I249:J253">C249+F249</f>
        <v>70650</v>
      </c>
      <c r="J249" s="61">
        <f t="shared" si="72"/>
        <v>0</v>
      </c>
      <c r="K249" s="61">
        <f t="shared" si="71"/>
        <v>70650</v>
      </c>
    </row>
    <row r="250" spans="1:11" s="68" customFormat="1" ht="15" customHeight="1">
      <c r="A250" s="67"/>
      <c r="C250" s="64"/>
      <c r="D250" s="64"/>
      <c r="E250" s="65"/>
      <c r="F250" s="66"/>
      <c r="G250" s="66"/>
      <c r="H250" s="65"/>
      <c r="I250" s="65"/>
      <c r="J250" s="65"/>
      <c r="K250" s="65"/>
    </row>
    <row r="251" spans="1:11" s="29" customFormat="1" ht="15" customHeight="1">
      <c r="A251" s="28">
        <v>92695</v>
      </c>
      <c r="B251" s="29" t="s">
        <v>31</v>
      </c>
      <c r="C251" s="23">
        <v>243159</v>
      </c>
      <c r="D251" s="23">
        <v>0</v>
      </c>
      <c r="E251" s="24">
        <f>SUM(C251:D251)</f>
        <v>243159</v>
      </c>
      <c r="F251" s="30">
        <f>SUM(F252:F253)</f>
        <v>15389</v>
      </c>
      <c r="G251" s="30">
        <f>SUM(G252:G253)</f>
        <v>0</v>
      </c>
      <c r="H251" s="24">
        <f>F251+G251</f>
        <v>15389</v>
      </c>
      <c r="I251" s="24">
        <f t="shared" si="72"/>
        <v>258548</v>
      </c>
      <c r="J251" s="24">
        <f t="shared" si="72"/>
        <v>0</v>
      </c>
      <c r="K251" s="24">
        <f t="shared" si="71"/>
        <v>258548</v>
      </c>
    </row>
    <row r="252" spans="1:11" s="45" customFormat="1" ht="15" customHeight="1">
      <c r="A252" s="62" t="s">
        <v>32</v>
      </c>
      <c r="B252" s="63" t="s">
        <v>145</v>
      </c>
      <c r="C252" s="66">
        <v>7000</v>
      </c>
      <c r="D252" s="66">
        <v>0</v>
      </c>
      <c r="E252" s="65">
        <f>SUM(C252:D252)</f>
        <v>7000</v>
      </c>
      <c r="F252" s="66">
        <v>-3000</v>
      </c>
      <c r="G252" s="66">
        <v>0</v>
      </c>
      <c r="H252" s="65">
        <f>F252+G252</f>
        <v>-3000</v>
      </c>
      <c r="I252" s="65">
        <f t="shared" si="72"/>
        <v>4000</v>
      </c>
      <c r="J252" s="65">
        <f t="shared" si="72"/>
        <v>0</v>
      </c>
      <c r="K252" s="65">
        <f t="shared" si="71"/>
        <v>4000</v>
      </c>
    </row>
    <row r="253" spans="1:11" s="76" customFormat="1" ht="15" customHeight="1">
      <c r="A253" s="58" t="s">
        <v>47</v>
      </c>
      <c r="B253" s="59" t="s">
        <v>48</v>
      </c>
      <c r="C253" s="60">
        <v>14343</v>
      </c>
      <c r="D253" s="60">
        <v>0</v>
      </c>
      <c r="E253" s="61">
        <f>SUM(C253:D253)</f>
        <v>14343</v>
      </c>
      <c r="F253" s="60">
        <f>-5000+23389</f>
        <v>18389</v>
      </c>
      <c r="G253" s="60">
        <v>0</v>
      </c>
      <c r="H253" s="61">
        <f>F253+G253</f>
        <v>18389</v>
      </c>
      <c r="I253" s="61">
        <f t="shared" si="72"/>
        <v>32732</v>
      </c>
      <c r="J253" s="61">
        <f t="shared" si="72"/>
        <v>0</v>
      </c>
      <c r="K253" s="61">
        <f t="shared" si="71"/>
        <v>32732</v>
      </c>
    </row>
    <row r="254" spans="1:11" s="35" customFormat="1" ht="30" customHeight="1">
      <c r="A254" s="84" t="s">
        <v>16</v>
      </c>
      <c r="B254" s="85"/>
      <c r="C254" s="85"/>
      <c r="D254" s="85"/>
      <c r="E254" s="85"/>
      <c r="F254" s="85"/>
      <c r="G254" s="85"/>
      <c r="H254" s="85"/>
      <c r="I254" s="85"/>
      <c r="J254" s="85"/>
      <c r="K254" s="86"/>
    </row>
    <row r="255" spans="1:11" s="36" customFormat="1" ht="15" customHeight="1">
      <c r="A255" s="3" t="s">
        <v>17</v>
      </c>
      <c r="B255" s="15" t="s">
        <v>14</v>
      </c>
      <c r="C255" s="16">
        <v>56132230</v>
      </c>
      <c r="D255" s="16">
        <v>11102677</v>
      </c>
      <c r="E255" s="6">
        <f>SUM(C255:D255)</f>
        <v>67234907</v>
      </c>
      <c r="F255" s="16">
        <f>F258++F265+F271+F298+F328+F323+F293</f>
        <v>-629145</v>
      </c>
      <c r="G255" s="16">
        <f>G258++G265+G271+G298+G328+G323+G293</f>
        <v>-1174466</v>
      </c>
      <c r="H255" s="6">
        <f>F255+G255</f>
        <v>-1803611</v>
      </c>
      <c r="I255" s="6">
        <f>C255+F255</f>
        <v>55503085</v>
      </c>
      <c r="J255" s="6">
        <f>D255+G255</f>
        <v>9928211</v>
      </c>
      <c r="K255" s="6">
        <f>E255+H255</f>
        <v>65431296</v>
      </c>
    </row>
    <row r="256" spans="1:11" s="34" customFormat="1" ht="15" customHeight="1">
      <c r="A256" s="14"/>
      <c r="B256" s="17" t="s">
        <v>15</v>
      </c>
      <c r="C256" s="18"/>
      <c r="D256" s="18"/>
      <c r="E256" s="18"/>
      <c r="F256" s="18"/>
      <c r="G256" s="18"/>
      <c r="H256" s="9"/>
      <c r="I256" s="9"/>
      <c r="J256" s="9"/>
      <c r="K256" s="9"/>
    </row>
    <row r="257" spans="1:11" s="37" customFormat="1" ht="15" customHeight="1">
      <c r="A257" s="19"/>
      <c r="B257" s="11" t="s">
        <v>164</v>
      </c>
      <c r="C257" s="21">
        <v>4410668</v>
      </c>
      <c r="D257" s="21">
        <v>2112000</v>
      </c>
      <c r="E257" s="12">
        <f>SUM(C257:D257)</f>
        <v>6522668</v>
      </c>
      <c r="F257" s="21">
        <f>F260++F267+F273+F300+F330+F325+F295</f>
        <v>-575136</v>
      </c>
      <c r="G257" s="21">
        <f>G260++G267+G273+G300+G330+G325+G295</f>
        <v>-1174466</v>
      </c>
      <c r="H257" s="12">
        <f>F257+G257</f>
        <v>-1749602</v>
      </c>
      <c r="I257" s="12">
        <f aca="true" t="shared" si="73" ref="I257:K258">C257+F257</f>
        <v>3835532</v>
      </c>
      <c r="J257" s="12">
        <f t="shared" si="73"/>
        <v>937534</v>
      </c>
      <c r="K257" s="12">
        <f t="shared" si="73"/>
        <v>4773066</v>
      </c>
    </row>
    <row r="258" spans="1:11" s="7" customFormat="1" ht="15" customHeight="1">
      <c r="A258" s="3" t="s">
        <v>90</v>
      </c>
      <c r="B258" s="15" t="s">
        <v>91</v>
      </c>
      <c r="C258" s="16">
        <v>8503521</v>
      </c>
      <c r="D258" s="16">
        <v>2035000</v>
      </c>
      <c r="E258" s="6">
        <f>SUM(C258:D258)</f>
        <v>10538521</v>
      </c>
      <c r="F258" s="16">
        <f>F261</f>
        <v>-232000</v>
      </c>
      <c r="G258" s="16">
        <f>G261</f>
        <v>-1263602</v>
      </c>
      <c r="H258" s="6">
        <f>F258+G258</f>
        <v>-1495602</v>
      </c>
      <c r="I258" s="6">
        <f t="shared" si="73"/>
        <v>8271521</v>
      </c>
      <c r="J258" s="6">
        <f t="shared" si="73"/>
        <v>771398</v>
      </c>
      <c r="K258" s="6">
        <f t="shared" si="73"/>
        <v>9042919</v>
      </c>
    </row>
    <row r="259" spans="1:11" s="10" customFormat="1" ht="15" customHeight="1">
      <c r="A259" s="14"/>
      <c r="B259" s="17" t="s">
        <v>10</v>
      </c>
      <c r="C259" s="18"/>
      <c r="D259" s="18"/>
      <c r="E259" s="9"/>
      <c r="F259" s="18"/>
      <c r="G259" s="18"/>
      <c r="H259" s="9"/>
      <c r="I259" s="9"/>
      <c r="J259" s="9"/>
      <c r="K259" s="9"/>
    </row>
    <row r="260" spans="1:11" s="13" customFormat="1" ht="15" customHeight="1">
      <c r="A260" s="19"/>
      <c r="B260" s="20" t="s">
        <v>11</v>
      </c>
      <c r="C260" s="21">
        <v>2924000</v>
      </c>
      <c r="D260" s="21">
        <v>2035000</v>
      </c>
      <c r="E260" s="12">
        <f aca="true" t="shared" si="74" ref="E260:E265">SUM(C260:D260)</f>
        <v>4959000</v>
      </c>
      <c r="F260" s="21">
        <f>SUM(F262:F264)</f>
        <v>-232000</v>
      </c>
      <c r="G260" s="21">
        <f>SUM(G262:G264)</f>
        <v>-1263602</v>
      </c>
      <c r="H260" s="12">
        <f aca="true" t="shared" si="75" ref="H260:H265">F260+G260</f>
        <v>-1495602</v>
      </c>
      <c r="I260" s="12">
        <f aca="true" t="shared" si="76" ref="I260:K264">C260+F260</f>
        <v>2692000</v>
      </c>
      <c r="J260" s="12">
        <f t="shared" si="76"/>
        <v>771398</v>
      </c>
      <c r="K260" s="12">
        <f t="shared" si="76"/>
        <v>3463398</v>
      </c>
    </row>
    <row r="261" spans="1:11" s="29" customFormat="1" ht="15" customHeight="1">
      <c r="A261" s="28">
        <v>60015</v>
      </c>
      <c r="B261" s="29" t="s">
        <v>137</v>
      </c>
      <c r="C261" s="23">
        <v>8502521</v>
      </c>
      <c r="D261" s="23">
        <v>2035000</v>
      </c>
      <c r="E261" s="24">
        <f t="shared" si="74"/>
        <v>10537521</v>
      </c>
      <c r="F261" s="30">
        <f>SUM(F262:F264)</f>
        <v>-232000</v>
      </c>
      <c r="G261" s="30">
        <f>SUM(G262:G264)</f>
        <v>-1263602</v>
      </c>
      <c r="H261" s="24">
        <f t="shared" si="75"/>
        <v>-1495602</v>
      </c>
      <c r="I261" s="24">
        <f t="shared" si="76"/>
        <v>8270521</v>
      </c>
      <c r="J261" s="24">
        <f t="shared" si="76"/>
        <v>771398</v>
      </c>
      <c r="K261" s="24">
        <f t="shared" si="76"/>
        <v>9041919</v>
      </c>
    </row>
    <row r="262" spans="1:11" s="45" customFormat="1" ht="15" customHeight="1">
      <c r="A262" s="62" t="s">
        <v>58</v>
      </c>
      <c r="B262" s="63" t="s">
        <v>59</v>
      </c>
      <c r="C262" s="64">
        <v>2060000</v>
      </c>
      <c r="D262" s="64">
        <v>0</v>
      </c>
      <c r="E262" s="65">
        <f t="shared" si="74"/>
        <v>2060000</v>
      </c>
      <c r="F262" s="66">
        <f>800000-670000-150000</f>
        <v>-20000</v>
      </c>
      <c r="G262" s="66">
        <v>0</v>
      </c>
      <c r="H262" s="65">
        <f t="shared" si="75"/>
        <v>-20000</v>
      </c>
      <c r="I262" s="65">
        <f t="shared" si="76"/>
        <v>2040000</v>
      </c>
      <c r="J262" s="65">
        <f t="shared" si="76"/>
        <v>0</v>
      </c>
      <c r="K262" s="65">
        <f t="shared" si="76"/>
        <v>2040000</v>
      </c>
    </row>
    <row r="263" spans="1:11" s="45" customFormat="1" ht="15" customHeight="1">
      <c r="A263" s="62" t="s">
        <v>117</v>
      </c>
      <c r="B263" s="63" t="s">
        <v>134</v>
      </c>
      <c r="C263" s="64">
        <v>0</v>
      </c>
      <c r="D263" s="64">
        <v>2035000</v>
      </c>
      <c r="E263" s="65">
        <f t="shared" si="74"/>
        <v>2035000</v>
      </c>
      <c r="F263" s="66">
        <v>0</v>
      </c>
      <c r="G263" s="66">
        <f>-663602-600000</f>
        <v>-1263602</v>
      </c>
      <c r="H263" s="65">
        <f t="shared" si="75"/>
        <v>-1263602</v>
      </c>
      <c r="I263" s="65">
        <f t="shared" si="76"/>
        <v>0</v>
      </c>
      <c r="J263" s="65">
        <f t="shared" si="76"/>
        <v>771398</v>
      </c>
      <c r="K263" s="65">
        <f t="shared" si="76"/>
        <v>771398</v>
      </c>
    </row>
    <row r="264" spans="1:11" s="45" customFormat="1" ht="15" customHeight="1">
      <c r="A264" s="62" t="s">
        <v>135</v>
      </c>
      <c r="B264" s="68" t="s">
        <v>136</v>
      </c>
      <c r="C264" s="64">
        <v>762000</v>
      </c>
      <c r="D264" s="64">
        <v>0</v>
      </c>
      <c r="E264" s="65">
        <f t="shared" si="74"/>
        <v>762000</v>
      </c>
      <c r="F264" s="66">
        <f>-162000-200000+150000</f>
        <v>-212000</v>
      </c>
      <c r="G264" s="66">
        <v>0</v>
      </c>
      <c r="H264" s="65">
        <f t="shared" si="75"/>
        <v>-212000</v>
      </c>
      <c r="I264" s="65">
        <f t="shared" si="76"/>
        <v>550000</v>
      </c>
      <c r="J264" s="65">
        <f t="shared" si="76"/>
        <v>0</v>
      </c>
      <c r="K264" s="65">
        <f t="shared" si="76"/>
        <v>550000</v>
      </c>
    </row>
    <row r="265" spans="1:11" s="7" customFormat="1" ht="15" customHeight="1">
      <c r="A265" s="3" t="s">
        <v>29</v>
      </c>
      <c r="B265" s="15" t="s">
        <v>30</v>
      </c>
      <c r="C265" s="16">
        <v>402400</v>
      </c>
      <c r="D265" s="16">
        <v>4954359</v>
      </c>
      <c r="E265" s="6">
        <f t="shared" si="74"/>
        <v>5356759</v>
      </c>
      <c r="F265" s="16">
        <f>F268</f>
        <v>-170000</v>
      </c>
      <c r="G265" s="16">
        <v>0</v>
      </c>
      <c r="H265" s="6">
        <f t="shared" si="75"/>
        <v>-170000</v>
      </c>
      <c r="I265" s="6">
        <f>C265+F265</f>
        <v>232400</v>
      </c>
      <c r="J265" s="6">
        <f>D265+G265</f>
        <v>4954359</v>
      </c>
      <c r="K265" s="6">
        <f>E265+H265</f>
        <v>5186759</v>
      </c>
    </row>
    <row r="266" spans="1:11" s="10" customFormat="1" ht="15" customHeight="1">
      <c r="A266" s="14"/>
      <c r="B266" s="17" t="s">
        <v>10</v>
      </c>
      <c r="C266" s="18"/>
      <c r="D266" s="18"/>
      <c r="E266" s="9"/>
      <c r="F266" s="18"/>
      <c r="G266" s="18"/>
      <c r="H266" s="9"/>
      <c r="I266" s="9"/>
      <c r="J266" s="9"/>
      <c r="K266" s="9"/>
    </row>
    <row r="267" spans="1:11" s="13" customFormat="1" ht="15" customHeight="1">
      <c r="A267" s="19"/>
      <c r="B267" s="11" t="s">
        <v>164</v>
      </c>
      <c r="C267" s="21">
        <v>195000</v>
      </c>
      <c r="D267" s="21">
        <v>50000</v>
      </c>
      <c r="E267" s="12">
        <f>SUM(C267:D267)</f>
        <v>245000</v>
      </c>
      <c r="F267" s="21">
        <f>F269+F270</f>
        <v>-170000</v>
      </c>
      <c r="G267" s="21">
        <v>0</v>
      </c>
      <c r="H267" s="12">
        <f>F267+G267</f>
        <v>-170000</v>
      </c>
      <c r="I267" s="12">
        <f aca="true" t="shared" si="77" ref="I267:K269">C267+F267</f>
        <v>25000</v>
      </c>
      <c r="J267" s="12">
        <f t="shared" si="77"/>
        <v>50000</v>
      </c>
      <c r="K267" s="12">
        <f t="shared" si="77"/>
        <v>75000</v>
      </c>
    </row>
    <row r="268" spans="1:11" s="29" customFormat="1" ht="15" customHeight="1">
      <c r="A268" s="28">
        <v>75405</v>
      </c>
      <c r="B268" s="29" t="s">
        <v>138</v>
      </c>
      <c r="C268" s="23">
        <v>299400</v>
      </c>
      <c r="D268" s="23">
        <v>0</v>
      </c>
      <c r="E268" s="24">
        <f>SUM(C268:D268)</f>
        <v>299400</v>
      </c>
      <c r="F268" s="30">
        <f>SUM(F269:F270)</f>
        <v>-170000</v>
      </c>
      <c r="G268" s="30">
        <f>G269</f>
        <v>0</v>
      </c>
      <c r="H268" s="24">
        <f>F268+G268</f>
        <v>-170000</v>
      </c>
      <c r="I268" s="24">
        <f t="shared" si="77"/>
        <v>129400</v>
      </c>
      <c r="J268" s="24">
        <f t="shared" si="77"/>
        <v>0</v>
      </c>
      <c r="K268" s="24">
        <f t="shared" si="77"/>
        <v>129400</v>
      </c>
    </row>
    <row r="269" spans="1:11" s="32" customFormat="1" ht="15" customHeight="1">
      <c r="A269" s="31" t="s">
        <v>58</v>
      </c>
      <c r="B269" s="32" t="s">
        <v>59</v>
      </c>
      <c r="C269" s="26">
        <v>150000</v>
      </c>
      <c r="D269" s="26">
        <v>0</v>
      </c>
      <c r="E269" s="27">
        <f>SUM(C269:D269)</f>
        <v>150000</v>
      </c>
      <c r="F269" s="33">
        <v>-150000</v>
      </c>
      <c r="G269" s="33">
        <v>0</v>
      </c>
      <c r="H269" s="27">
        <f>F269+G269</f>
        <v>-150000</v>
      </c>
      <c r="I269" s="27">
        <f t="shared" si="77"/>
        <v>0</v>
      </c>
      <c r="J269" s="27">
        <f t="shared" si="77"/>
        <v>0</v>
      </c>
      <c r="K269" s="27">
        <f t="shared" si="77"/>
        <v>0</v>
      </c>
    </row>
    <row r="270" spans="1:11" s="32" customFormat="1" ht="15" customHeight="1">
      <c r="A270" s="31" t="s">
        <v>113</v>
      </c>
      <c r="B270" s="32" t="s">
        <v>114</v>
      </c>
      <c r="C270" s="26">
        <v>20000</v>
      </c>
      <c r="D270" s="26">
        <v>0</v>
      </c>
      <c r="E270" s="27">
        <f>SUM(C270:D270)</f>
        <v>20000</v>
      </c>
      <c r="F270" s="33">
        <v>-20000</v>
      </c>
      <c r="G270" s="33">
        <v>0</v>
      </c>
      <c r="H270" s="27">
        <f>F270+G270</f>
        <v>-20000</v>
      </c>
      <c r="I270" s="27">
        <f aca="true" t="shared" si="78" ref="I270:K271">C270+F270</f>
        <v>0</v>
      </c>
      <c r="J270" s="27">
        <f t="shared" si="78"/>
        <v>0</v>
      </c>
      <c r="K270" s="27">
        <f t="shared" si="78"/>
        <v>0</v>
      </c>
    </row>
    <row r="271" spans="1:11" s="45" customFormat="1" ht="15" customHeight="1">
      <c r="A271" s="41" t="s">
        <v>62</v>
      </c>
      <c r="B271" s="42" t="s">
        <v>86</v>
      </c>
      <c r="C271" s="43">
        <v>31547216</v>
      </c>
      <c r="D271" s="43">
        <v>0</v>
      </c>
      <c r="E271" s="44">
        <f>SUM(C271:D271)</f>
        <v>31547216</v>
      </c>
      <c r="F271" s="43">
        <f>F274+F284+F288</f>
        <v>-102950</v>
      </c>
      <c r="G271" s="43">
        <f>G288</f>
        <v>0</v>
      </c>
      <c r="H271" s="44">
        <f>F271+G271</f>
        <v>-102950</v>
      </c>
      <c r="I271" s="44">
        <f t="shared" si="78"/>
        <v>31444266</v>
      </c>
      <c r="J271" s="44">
        <f t="shared" si="78"/>
        <v>0</v>
      </c>
      <c r="K271" s="44">
        <f t="shared" si="78"/>
        <v>31444266</v>
      </c>
    </row>
    <row r="272" spans="1:11" s="45" customFormat="1" ht="15" customHeight="1">
      <c r="A272" s="46"/>
      <c r="B272" s="47" t="s">
        <v>10</v>
      </c>
      <c r="C272" s="48"/>
      <c r="D272" s="48"/>
      <c r="E272" s="49"/>
      <c r="F272" s="48"/>
      <c r="G272" s="48"/>
      <c r="H272" s="49"/>
      <c r="I272" s="49"/>
      <c r="J272" s="75"/>
      <c r="K272" s="49"/>
    </row>
    <row r="273" spans="1:11" s="45" customFormat="1" ht="15" customHeight="1">
      <c r="A273" s="46"/>
      <c r="B273" s="11" t="s">
        <v>164</v>
      </c>
      <c r="C273" s="48">
        <v>662668</v>
      </c>
      <c r="D273" s="48">
        <v>0</v>
      </c>
      <c r="E273" s="49">
        <f aca="true" t="shared" si="79" ref="E273:E298">SUM(C273:D273)</f>
        <v>662668</v>
      </c>
      <c r="F273" s="48">
        <f>F287</f>
        <v>-160000</v>
      </c>
      <c r="G273" s="48">
        <v>0</v>
      </c>
      <c r="H273" s="49">
        <f aca="true" t="shared" si="80" ref="H273:H298">F273+G273</f>
        <v>-160000</v>
      </c>
      <c r="I273" s="49">
        <f>C273+F273</f>
        <v>502668</v>
      </c>
      <c r="J273" s="49">
        <f>D273+G273</f>
        <v>0</v>
      </c>
      <c r="K273" s="49">
        <f>E273+H273</f>
        <v>502668</v>
      </c>
    </row>
    <row r="274" spans="1:11" s="69" customFormat="1" ht="15" customHeight="1">
      <c r="A274" s="53">
        <v>80120</v>
      </c>
      <c r="B274" s="54" t="s">
        <v>167</v>
      </c>
      <c r="C274" s="57">
        <v>11269425</v>
      </c>
      <c r="D274" s="57">
        <v>0</v>
      </c>
      <c r="E274" s="56">
        <f t="shared" si="79"/>
        <v>11269425</v>
      </c>
      <c r="F274" s="57">
        <f>SUM(F275:F283)</f>
        <v>20000</v>
      </c>
      <c r="G274" s="57">
        <v>0</v>
      </c>
      <c r="H274" s="56">
        <f t="shared" si="80"/>
        <v>20000</v>
      </c>
      <c r="I274" s="56">
        <f aca="true" t="shared" si="81" ref="I274:J277">C274+F274</f>
        <v>11289425</v>
      </c>
      <c r="J274" s="56">
        <f t="shared" si="81"/>
        <v>0</v>
      </c>
      <c r="K274" s="56">
        <f>SUM(E274+H274)</f>
        <v>11289425</v>
      </c>
    </row>
    <row r="275" spans="1:11" s="68" customFormat="1" ht="15" customHeight="1">
      <c r="A275" s="62" t="s">
        <v>53</v>
      </c>
      <c r="B275" s="63" t="s">
        <v>88</v>
      </c>
      <c r="C275" s="66">
        <v>534915</v>
      </c>
      <c r="D275" s="66">
        <v>0</v>
      </c>
      <c r="E275" s="65">
        <f t="shared" si="79"/>
        <v>534915</v>
      </c>
      <c r="F275" s="66">
        <v>-3721</v>
      </c>
      <c r="G275" s="66">
        <v>0</v>
      </c>
      <c r="H275" s="65">
        <f t="shared" si="80"/>
        <v>-3721</v>
      </c>
      <c r="I275" s="65">
        <f t="shared" si="81"/>
        <v>531194</v>
      </c>
      <c r="J275" s="65">
        <f t="shared" si="81"/>
        <v>0</v>
      </c>
      <c r="K275" s="65">
        <f aca="true" t="shared" si="82" ref="K275:K283">E275+H275</f>
        <v>531194</v>
      </c>
    </row>
    <row r="276" spans="1:11" s="10" customFormat="1" ht="15" customHeight="1">
      <c r="A276" s="25" t="s">
        <v>42</v>
      </c>
      <c r="B276" s="10" t="s">
        <v>43</v>
      </c>
      <c r="C276" s="26">
        <v>180800</v>
      </c>
      <c r="D276" s="26">
        <v>0</v>
      </c>
      <c r="E276" s="27">
        <f t="shared" si="79"/>
        <v>180800</v>
      </c>
      <c r="F276" s="26">
        <v>1500</v>
      </c>
      <c r="G276" s="26">
        <v>0</v>
      </c>
      <c r="H276" s="27">
        <f t="shared" si="80"/>
        <v>1500</v>
      </c>
      <c r="I276" s="27">
        <f t="shared" si="81"/>
        <v>182300</v>
      </c>
      <c r="J276" s="27">
        <f t="shared" si="81"/>
        <v>0</v>
      </c>
      <c r="K276" s="27">
        <f t="shared" si="82"/>
        <v>182300</v>
      </c>
    </row>
    <row r="277" spans="1:11" s="45" customFormat="1" ht="15" customHeight="1">
      <c r="A277" s="62" t="s">
        <v>44</v>
      </c>
      <c r="B277" s="63" t="s">
        <v>45</v>
      </c>
      <c r="C277" s="64">
        <v>2250</v>
      </c>
      <c r="D277" s="64">
        <v>0</v>
      </c>
      <c r="E277" s="65">
        <f t="shared" si="79"/>
        <v>2250</v>
      </c>
      <c r="F277" s="66">
        <v>-2250</v>
      </c>
      <c r="G277" s="66">
        <v>0</v>
      </c>
      <c r="H277" s="65">
        <f t="shared" si="80"/>
        <v>-2250</v>
      </c>
      <c r="I277" s="65">
        <f t="shared" si="81"/>
        <v>0</v>
      </c>
      <c r="J277" s="65">
        <f t="shared" si="81"/>
        <v>0</v>
      </c>
      <c r="K277" s="65">
        <f t="shared" si="82"/>
        <v>0</v>
      </c>
    </row>
    <row r="278" spans="1:11" s="68" customFormat="1" ht="15" customHeight="1">
      <c r="A278" s="62" t="s">
        <v>33</v>
      </c>
      <c r="B278" s="63" t="s">
        <v>34</v>
      </c>
      <c r="C278" s="66">
        <v>138555</v>
      </c>
      <c r="D278" s="66">
        <v>0</v>
      </c>
      <c r="E278" s="65">
        <f t="shared" si="79"/>
        <v>138555</v>
      </c>
      <c r="F278" s="66">
        <f>3471+3000+3000</f>
        <v>9471</v>
      </c>
      <c r="G278" s="66">
        <v>0</v>
      </c>
      <c r="H278" s="65">
        <f t="shared" si="80"/>
        <v>9471</v>
      </c>
      <c r="I278" s="65">
        <f aca="true" t="shared" si="83" ref="I278:J283">C278+F278</f>
        <v>148026</v>
      </c>
      <c r="J278" s="65">
        <f t="shared" si="83"/>
        <v>0</v>
      </c>
      <c r="K278" s="65">
        <f t="shared" si="82"/>
        <v>148026</v>
      </c>
    </row>
    <row r="279" spans="1:11" s="68" customFormat="1" ht="15" customHeight="1">
      <c r="A279" s="62" t="s">
        <v>46</v>
      </c>
      <c r="B279" s="63" t="s">
        <v>71</v>
      </c>
      <c r="C279" s="66">
        <v>91624</v>
      </c>
      <c r="D279" s="66">
        <v>0</v>
      </c>
      <c r="E279" s="65">
        <f t="shared" si="79"/>
        <v>91624</v>
      </c>
      <c r="F279" s="66">
        <f>-1000+20000</f>
        <v>19000</v>
      </c>
      <c r="G279" s="66">
        <v>0</v>
      </c>
      <c r="H279" s="65">
        <f t="shared" si="80"/>
        <v>19000</v>
      </c>
      <c r="I279" s="65">
        <f t="shared" si="83"/>
        <v>110624</v>
      </c>
      <c r="J279" s="65">
        <f t="shared" si="83"/>
        <v>0</v>
      </c>
      <c r="K279" s="65">
        <f t="shared" si="82"/>
        <v>110624</v>
      </c>
    </row>
    <row r="280" spans="1:11" s="74" customFormat="1" ht="15" customHeight="1">
      <c r="A280" s="62" t="s">
        <v>55</v>
      </c>
      <c r="B280" s="63" t="s">
        <v>56</v>
      </c>
      <c r="C280" s="64">
        <v>451365</v>
      </c>
      <c r="D280" s="64">
        <v>0</v>
      </c>
      <c r="E280" s="65">
        <f t="shared" si="79"/>
        <v>451365</v>
      </c>
      <c r="F280" s="66">
        <f>-2000-1500-2000</f>
        <v>-5500</v>
      </c>
      <c r="G280" s="66">
        <v>0</v>
      </c>
      <c r="H280" s="65">
        <f t="shared" si="80"/>
        <v>-5500</v>
      </c>
      <c r="I280" s="65">
        <f t="shared" si="83"/>
        <v>445865</v>
      </c>
      <c r="J280" s="65">
        <f t="shared" si="83"/>
        <v>0</v>
      </c>
      <c r="K280" s="65">
        <f t="shared" si="82"/>
        <v>445865</v>
      </c>
    </row>
    <row r="281" spans="1:11" s="68" customFormat="1" ht="15" customHeight="1">
      <c r="A281" s="67" t="s">
        <v>47</v>
      </c>
      <c r="B281" s="68" t="s">
        <v>48</v>
      </c>
      <c r="C281" s="64">
        <v>96168</v>
      </c>
      <c r="D281" s="64">
        <v>0</v>
      </c>
      <c r="E281" s="65">
        <f t="shared" si="79"/>
        <v>96168</v>
      </c>
      <c r="F281" s="64">
        <f>-2500</f>
        <v>-2500</v>
      </c>
      <c r="G281" s="64">
        <v>0</v>
      </c>
      <c r="H281" s="65">
        <f t="shared" si="80"/>
        <v>-2500</v>
      </c>
      <c r="I281" s="65">
        <f t="shared" si="83"/>
        <v>93668</v>
      </c>
      <c r="J281" s="65">
        <f t="shared" si="83"/>
        <v>0</v>
      </c>
      <c r="K281" s="65">
        <f t="shared" si="82"/>
        <v>93668</v>
      </c>
    </row>
    <row r="282" spans="1:11" s="34" customFormat="1" ht="15" customHeight="1">
      <c r="A282" s="31" t="s">
        <v>66</v>
      </c>
      <c r="B282" s="32" t="s">
        <v>122</v>
      </c>
      <c r="C282" s="33">
        <v>2500</v>
      </c>
      <c r="D282" s="33">
        <v>0</v>
      </c>
      <c r="E282" s="27">
        <f t="shared" si="79"/>
        <v>2500</v>
      </c>
      <c r="F282" s="33">
        <v>1000</v>
      </c>
      <c r="G282" s="33">
        <v>0</v>
      </c>
      <c r="H282" s="27">
        <f t="shared" si="80"/>
        <v>1000</v>
      </c>
      <c r="I282" s="27">
        <f t="shared" si="83"/>
        <v>3500</v>
      </c>
      <c r="J282" s="27">
        <f t="shared" si="83"/>
        <v>0</v>
      </c>
      <c r="K282" s="27">
        <f t="shared" si="82"/>
        <v>3500</v>
      </c>
    </row>
    <row r="283" spans="1:11" s="37" customFormat="1" ht="15" customHeight="1">
      <c r="A283" s="78" t="s">
        <v>52</v>
      </c>
      <c r="B283" s="79" t="s">
        <v>76</v>
      </c>
      <c r="C283" s="80">
        <v>456900</v>
      </c>
      <c r="D283" s="80">
        <v>0</v>
      </c>
      <c r="E283" s="40">
        <f t="shared" si="79"/>
        <v>456900</v>
      </c>
      <c r="F283" s="80">
        <v>3000</v>
      </c>
      <c r="G283" s="80">
        <v>0</v>
      </c>
      <c r="H283" s="40">
        <f t="shared" si="80"/>
        <v>3000</v>
      </c>
      <c r="I283" s="40">
        <f t="shared" si="83"/>
        <v>459900</v>
      </c>
      <c r="J283" s="40">
        <f t="shared" si="83"/>
        <v>0</v>
      </c>
      <c r="K283" s="40">
        <f t="shared" si="82"/>
        <v>459900</v>
      </c>
    </row>
    <row r="284" spans="1:11" s="69" customFormat="1" ht="15" customHeight="1">
      <c r="A284" s="53">
        <v>80130</v>
      </c>
      <c r="B284" s="54" t="s">
        <v>87</v>
      </c>
      <c r="C284" s="57">
        <v>14564352</v>
      </c>
      <c r="D284" s="57">
        <v>0</v>
      </c>
      <c r="E284" s="56">
        <f t="shared" si="79"/>
        <v>14564352</v>
      </c>
      <c r="F284" s="57">
        <f>SUM(F285:F287)</f>
        <v>-160000</v>
      </c>
      <c r="G284" s="57">
        <v>0</v>
      </c>
      <c r="H284" s="56">
        <f t="shared" si="80"/>
        <v>-160000</v>
      </c>
      <c r="I284" s="56">
        <f aca="true" t="shared" si="84" ref="I284:J287">C284+F284</f>
        <v>14404352</v>
      </c>
      <c r="J284" s="56">
        <f t="shared" si="84"/>
        <v>0</v>
      </c>
      <c r="K284" s="56">
        <f>SUM(E284+H284)</f>
        <v>14404352</v>
      </c>
    </row>
    <row r="285" spans="1:11" s="74" customFormat="1" ht="15" customHeight="1">
      <c r="A285" s="62" t="s">
        <v>55</v>
      </c>
      <c r="B285" s="63" t="s">
        <v>56</v>
      </c>
      <c r="C285" s="64">
        <v>272600</v>
      </c>
      <c r="D285" s="64">
        <v>0</v>
      </c>
      <c r="E285" s="65">
        <f t="shared" si="79"/>
        <v>272600</v>
      </c>
      <c r="F285" s="66">
        <f>-1500</f>
        <v>-1500</v>
      </c>
      <c r="G285" s="66">
        <v>0</v>
      </c>
      <c r="H285" s="65">
        <f t="shared" si="80"/>
        <v>-1500</v>
      </c>
      <c r="I285" s="65">
        <f t="shared" si="84"/>
        <v>271100</v>
      </c>
      <c r="J285" s="65">
        <f t="shared" si="84"/>
        <v>0</v>
      </c>
      <c r="K285" s="65">
        <f>E285+H285</f>
        <v>271100</v>
      </c>
    </row>
    <row r="286" spans="1:11" s="68" customFormat="1" ht="15" customHeight="1">
      <c r="A286" s="67" t="s">
        <v>47</v>
      </c>
      <c r="B286" s="68" t="s">
        <v>48</v>
      </c>
      <c r="C286" s="64">
        <v>121426</v>
      </c>
      <c r="D286" s="64">
        <v>0</v>
      </c>
      <c r="E286" s="65">
        <f t="shared" si="79"/>
        <v>121426</v>
      </c>
      <c r="F286" s="64">
        <v>1500</v>
      </c>
      <c r="G286" s="64">
        <v>0</v>
      </c>
      <c r="H286" s="65">
        <f t="shared" si="80"/>
        <v>1500</v>
      </c>
      <c r="I286" s="65">
        <f t="shared" si="84"/>
        <v>122926</v>
      </c>
      <c r="J286" s="65">
        <f t="shared" si="84"/>
        <v>0</v>
      </c>
      <c r="K286" s="65">
        <f>E286+H286</f>
        <v>122926</v>
      </c>
    </row>
    <row r="287" spans="1:11" s="76" customFormat="1" ht="15" customHeight="1">
      <c r="A287" s="58" t="s">
        <v>58</v>
      </c>
      <c r="B287" s="59" t="s">
        <v>59</v>
      </c>
      <c r="C287" s="70">
        <v>662668</v>
      </c>
      <c r="D287" s="70">
        <v>0</v>
      </c>
      <c r="E287" s="61">
        <f t="shared" si="79"/>
        <v>662668</v>
      </c>
      <c r="F287" s="60">
        <f>-160000</f>
        <v>-160000</v>
      </c>
      <c r="G287" s="60">
        <v>0</v>
      </c>
      <c r="H287" s="61">
        <f t="shared" si="80"/>
        <v>-160000</v>
      </c>
      <c r="I287" s="61">
        <f t="shared" si="84"/>
        <v>502668</v>
      </c>
      <c r="J287" s="61">
        <f t="shared" si="84"/>
        <v>0</v>
      </c>
      <c r="K287" s="61">
        <f>E287+H287</f>
        <v>502668</v>
      </c>
    </row>
    <row r="288" spans="1:11" s="77" customFormat="1" ht="15" customHeight="1">
      <c r="A288" s="71">
        <v>80195</v>
      </c>
      <c r="B288" s="69" t="s">
        <v>31</v>
      </c>
      <c r="C288" s="55">
        <v>160700</v>
      </c>
      <c r="D288" s="55">
        <v>0</v>
      </c>
      <c r="E288" s="56">
        <f t="shared" si="79"/>
        <v>160700</v>
      </c>
      <c r="F288" s="57">
        <f>SUM(F289:F292)</f>
        <v>37050</v>
      </c>
      <c r="G288" s="57">
        <v>0</v>
      </c>
      <c r="H288" s="56">
        <f t="shared" si="80"/>
        <v>37050</v>
      </c>
      <c r="I288" s="56">
        <f aca="true" t="shared" si="85" ref="I288:J292">C288+F288</f>
        <v>197750</v>
      </c>
      <c r="J288" s="56">
        <f t="shared" si="85"/>
        <v>0</v>
      </c>
      <c r="K288" s="56">
        <f aca="true" t="shared" si="86" ref="K288:K298">E288+H288</f>
        <v>197750</v>
      </c>
    </row>
    <row r="289" spans="1:11" s="45" customFormat="1" ht="15" customHeight="1">
      <c r="A289" s="62" t="s">
        <v>40</v>
      </c>
      <c r="B289" s="63" t="s">
        <v>54</v>
      </c>
      <c r="C289" s="66">
        <v>16640</v>
      </c>
      <c r="D289" s="66">
        <v>0</v>
      </c>
      <c r="E289" s="65">
        <f t="shared" si="79"/>
        <v>16640</v>
      </c>
      <c r="F289" s="66">
        <f>910+1690</f>
        <v>2600</v>
      </c>
      <c r="G289" s="66">
        <v>0</v>
      </c>
      <c r="H289" s="65">
        <f t="shared" si="80"/>
        <v>2600</v>
      </c>
      <c r="I289" s="65">
        <f t="shared" si="85"/>
        <v>19240</v>
      </c>
      <c r="J289" s="65">
        <f t="shared" si="85"/>
        <v>0</v>
      </c>
      <c r="K289" s="65">
        <f t="shared" si="86"/>
        <v>19240</v>
      </c>
    </row>
    <row r="290" spans="1:11" s="45" customFormat="1" ht="15" customHeight="1">
      <c r="A290" s="62" t="s">
        <v>42</v>
      </c>
      <c r="B290" s="63" t="s">
        <v>43</v>
      </c>
      <c r="C290" s="66">
        <v>2350</v>
      </c>
      <c r="D290" s="66">
        <v>0</v>
      </c>
      <c r="E290" s="65">
        <f t="shared" si="79"/>
        <v>2350</v>
      </c>
      <c r="F290" s="66">
        <f>290+120</f>
        <v>410</v>
      </c>
      <c r="G290" s="66">
        <v>0</v>
      </c>
      <c r="H290" s="65">
        <f t="shared" si="80"/>
        <v>410</v>
      </c>
      <c r="I290" s="65">
        <f t="shared" si="85"/>
        <v>2760</v>
      </c>
      <c r="J290" s="65">
        <f t="shared" si="85"/>
        <v>0</v>
      </c>
      <c r="K290" s="65">
        <f t="shared" si="86"/>
        <v>2760</v>
      </c>
    </row>
    <row r="291" spans="1:11" s="45" customFormat="1" ht="15" customHeight="1">
      <c r="A291" s="62" t="s">
        <v>44</v>
      </c>
      <c r="B291" s="63" t="s">
        <v>45</v>
      </c>
      <c r="C291" s="66">
        <v>91710</v>
      </c>
      <c r="D291" s="66">
        <v>0</v>
      </c>
      <c r="E291" s="65">
        <f t="shared" si="79"/>
        <v>91710</v>
      </c>
      <c r="F291" s="66">
        <f>3910+10130</f>
        <v>14040</v>
      </c>
      <c r="G291" s="66">
        <v>0</v>
      </c>
      <c r="H291" s="65">
        <f t="shared" si="80"/>
        <v>14040</v>
      </c>
      <c r="I291" s="65">
        <f t="shared" si="85"/>
        <v>105750</v>
      </c>
      <c r="J291" s="65">
        <f t="shared" si="85"/>
        <v>0</v>
      </c>
      <c r="K291" s="65">
        <f t="shared" si="86"/>
        <v>105750</v>
      </c>
    </row>
    <row r="292" spans="1:11" s="45" customFormat="1" ht="15" customHeight="1">
      <c r="A292" s="58" t="s">
        <v>55</v>
      </c>
      <c r="B292" s="59" t="s">
        <v>56</v>
      </c>
      <c r="C292" s="60">
        <v>50000</v>
      </c>
      <c r="D292" s="60">
        <v>0</v>
      </c>
      <c r="E292" s="61">
        <f t="shared" si="79"/>
        <v>50000</v>
      </c>
      <c r="F292" s="60">
        <v>20000</v>
      </c>
      <c r="G292" s="60">
        <v>0</v>
      </c>
      <c r="H292" s="61">
        <f t="shared" si="80"/>
        <v>20000</v>
      </c>
      <c r="I292" s="61">
        <f t="shared" si="85"/>
        <v>70000</v>
      </c>
      <c r="J292" s="61">
        <f t="shared" si="85"/>
        <v>0</v>
      </c>
      <c r="K292" s="61">
        <f t="shared" si="86"/>
        <v>70000</v>
      </c>
    </row>
    <row r="293" spans="1:11" s="7" customFormat="1" ht="15" customHeight="1">
      <c r="A293" s="3" t="s">
        <v>37</v>
      </c>
      <c r="B293" s="15" t="s">
        <v>38</v>
      </c>
      <c r="C293" s="16">
        <v>10000</v>
      </c>
      <c r="D293" s="16">
        <v>34860</v>
      </c>
      <c r="E293" s="6">
        <f t="shared" si="79"/>
        <v>44860</v>
      </c>
      <c r="F293" s="16">
        <f>F296</f>
        <v>340000</v>
      </c>
      <c r="G293" s="16">
        <v>0</v>
      </c>
      <c r="H293" s="6">
        <f t="shared" si="80"/>
        <v>340000</v>
      </c>
      <c r="I293" s="6">
        <f>C293+F293</f>
        <v>350000</v>
      </c>
      <c r="J293" s="6">
        <f>D293+G293</f>
        <v>34860</v>
      </c>
      <c r="K293" s="6">
        <f t="shared" si="86"/>
        <v>384860</v>
      </c>
    </row>
    <row r="294" spans="1:11" s="10" customFormat="1" ht="11.25" customHeight="1">
      <c r="A294" s="14"/>
      <c r="B294" s="17" t="s">
        <v>10</v>
      </c>
      <c r="C294" s="18"/>
      <c r="D294" s="18"/>
      <c r="E294" s="9"/>
      <c r="F294" s="18"/>
      <c r="G294" s="18"/>
      <c r="H294" s="9"/>
      <c r="I294" s="9"/>
      <c r="J294" s="9"/>
      <c r="K294" s="9"/>
    </row>
    <row r="295" spans="1:11" s="13" customFormat="1" ht="15" customHeight="1">
      <c r="A295" s="19"/>
      <c r="B295" s="11" t="s">
        <v>164</v>
      </c>
      <c r="C295" s="21">
        <v>0</v>
      </c>
      <c r="D295" s="21">
        <v>0</v>
      </c>
      <c r="E295" s="12">
        <f>SUM(C295:D295)</f>
        <v>0</v>
      </c>
      <c r="F295" s="21">
        <f>F297</f>
        <v>340000</v>
      </c>
      <c r="G295" s="21">
        <v>0</v>
      </c>
      <c r="H295" s="12">
        <f>F295+G295</f>
        <v>340000</v>
      </c>
      <c r="I295" s="12">
        <f aca="true" t="shared" si="87" ref="I295:K297">C295+F295</f>
        <v>340000</v>
      </c>
      <c r="J295" s="12">
        <f t="shared" si="87"/>
        <v>0</v>
      </c>
      <c r="K295" s="12">
        <f t="shared" si="87"/>
        <v>340000</v>
      </c>
    </row>
    <row r="296" spans="1:11" s="7" customFormat="1" ht="15" customHeight="1">
      <c r="A296" s="22">
        <v>85111</v>
      </c>
      <c r="B296" s="7" t="s">
        <v>153</v>
      </c>
      <c r="C296" s="23">
        <v>0</v>
      </c>
      <c r="D296" s="23">
        <v>0</v>
      </c>
      <c r="E296" s="24">
        <f>SUM(C296:D296)</f>
        <v>0</v>
      </c>
      <c r="F296" s="23">
        <f>SUM(F297:F297)</f>
        <v>340000</v>
      </c>
      <c r="G296" s="23">
        <v>0</v>
      </c>
      <c r="H296" s="24">
        <f>F296+G296</f>
        <v>340000</v>
      </c>
      <c r="I296" s="24">
        <f t="shared" si="87"/>
        <v>340000</v>
      </c>
      <c r="J296" s="24">
        <f t="shared" si="87"/>
        <v>0</v>
      </c>
      <c r="K296" s="24">
        <f t="shared" si="87"/>
        <v>340000</v>
      </c>
    </row>
    <row r="297" spans="1:11" s="10" customFormat="1" ht="15" customHeight="1">
      <c r="A297" s="25" t="s">
        <v>152</v>
      </c>
      <c r="B297" s="10" t="s">
        <v>154</v>
      </c>
      <c r="C297" s="26">
        <v>0</v>
      </c>
      <c r="D297" s="26">
        <v>0</v>
      </c>
      <c r="E297" s="27">
        <f>SUM(C297:D297)</f>
        <v>0</v>
      </c>
      <c r="F297" s="26">
        <f>240000+100000</f>
        <v>340000</v>
      </c>
      <c r="G297" s="26">
        <v>0</v>
      </c>
      <c r="H297" s="27">
        <f>F297+G297</f>
        <v>340000</v>
      </c>
      <c r="I297" s="27">
        <f t="shared" si="87"/>
        <v>340000</v>
      </c>
      <c r="J297" s="27">
        <f t="shared" si="87"/>
        <v>0</v>
      </c>
      <c r="K297" s="27">
        <f t="shared" si="87"/>
        <v>340000</v>
      </c>
    </row>
    <row r="298" spans="1:11" s="36" customFormat="1" ht="15" customHeight="1">
      <c r="A298" s="3" t="s">
        <v>22</v>
      </c>
      <c r="B298" s="15" t="s">
        <v>23</v>
      </c>
      <c r="C298" s="16">
        <v>7332471</v>
      </c>
      <c r="D298" s="16">
        <v>1826634</v>
      </c>
      <c r="E298" s="6">
        <f t="shared" si="79"/>
        <v>9159105</v>
      </c>
      <c r="F298" s="16">
        <f>F301+F304+F316</f>
        <v>-241725</v>
      </c>
      <c r="G298" s="16">
        <f>G301+G304+G316</f>
        <v>89136</v>
      </c>
      <c r="H298" s="6">
        <f t="shared" si="80"/>
        <v>-152589</v>
      </c>
      <c r="I298" s="6">
        <f>C298+F298</f>
        <v>7090746</v>
      </c>
      <c r="J298" s="6">
        <f>D298+G298</f>
        <v>1915770</v>
      </c>
      <c r="K298" s="6">
        <f t="shared" si="86"/>
        <v>9006516</v>
      </c>
    </row>
    <row r="299" spans="1:11" s="34" customFormat="1" ht="11.25" customHeight="1">
      <c r="A299" s="14"/>
      <c r="B299" s="17" t="s">
        <v>10</v>
      </c>
      <c r="C299" s="18"/>
      <c r="D299" s="18"/>
      <c r="E299" s="9"/>
      <c r="F299" s="18"/>
      <c r="G299" s="18"/>
      <c r="H299" s="9"/>
      <c r="I299" s="9"/>
      <c r="J299" s="9"/>
      <c r="K299" s="9"/>
    </row>
    <row r="300" spans="1:11" s="37" customFormat="1" ht="15" customHeight="1">
      <c r="A300" s="19"/>
      <c r="B300" s="11" t="s">
        <v>164</v>
      </c>
      <c r="C300" s="21">
        <v>529000</v>
      </c>
      <c r="D300" s="21">
        <v>0</v>
      </c>
      <c r="E300" s="12">
        <f aca="true" t="shared" si="88" ref="E300:E315">SUM(C300:D300)</f>
        <v>529000</v>
      </c>
      <c r="F300" s="21">
        <f>F303+F315</f>
        <v>-273136</v>
      </c>
      <c r="G300" s="21">
        <f>G303+G315</f>
        <v>89136</v>
      </c>
      <c r="H300" s="12">
        <f aca="true" t="shared" si="89" ref="H300:H315">F300+G300</f>
        <v>-184000</v>
      </c>
      <c r="I300" s="12">
        <f>C300+F300</f>
        <v>255864</v>
      </c>
      <c r="J300" s="12">
        <f>D300+G300</f>
        <v>89136</v>
      </c>
      <c r="K300" s="12">
        <f>E300+H300</f>
        <v>345000</v>
      </c>
    </row>
    <row r="301" spans="1:11" s="69" customFormat="1" ht="15" customHeight="1">
      <c r="A301" s="53">
        <v>85201</v>
      </c>
      <c r="B301" s="54" t="s">
        <v>57</v>
      </c>
      <c r="C301" s="57">
        <v>4022892</v>
      </c>
      <c r="D301" s="57">
        <v>0</v>
      </c>
      <c r="E301" s="56">
        <f t="shared" si="88"/>
        <v>4022892</v>
      </c>
      <c r="F301" s="57">
        <f>SUM(F302:F303)</f>
        <v>-143136</v>
      </c>
      <c r="G301" s="57">
        <f>SUM(G303:G303)</f>
        <v>89136</v>
      </c>
      <c r="H301" s="56">
        <f t="shared" si="89"/>
        <v>-54000</v>
      </c>
      <c r="I301" s="56">
        <f aca="true" t="shared" si="90" ref="I301:J305">C301+F301</f>
        <v>3879756</v>
      </c>
      <c r="J301" s="56">
        <f t="shared" si="90"/>
        <v>89136</v>
      </c>
      <c r="K301" s="56">
        <f>SUM(E301+H301)</f>
        <v>3968892</v>
      </c>
    </row>
    <row r="302" spans="1:11" s="45" customFormat="1" ht="15" customHeight="1">
      <c r="A302" s="62" t="s">
        <v>49</v>
      </c>
      <c r="B302" s="63" t="s">
        <v>104</v>
      </c>
      <c r="C302" s="64">
        <v>280063</v>
      </c>
      <c r="D302" s="64">
        <v>0</v>
      </c>
      <c r="E302" s="65">
        <f>SUM(C302:D302)</f>
        <v>280063</v>
      </c>
      <c r="F302" s="66">
        <v>-54000</v>
      </c>
      <c r="G302" s="66">
        <v>0</v>
      </c>
      <c r="H302" s="65">
        <f>F302+G302</f>
        <v>-54000</v>
      </c>
      <c r="I302" s="65">
        <f t="shared" si="90"/>
        <v>226063</v>
      </c>
      <c r="J302" s="65">
        <f t="shared" si="90"/>
        <v>0</v>
      </c>
      <c r="K302" s="65">
        <f>E302+H302</f>
        <v>226063</v>
      </c>
    </row>
    <row r="303" spans="1:11" s="45" customFormat="1" ht="15" customHeight="1">
      <c r="A303" s="62" t="s">
        <v>58</v>
      </c>
      <c r="B303" s="63" t="s">
        <v>59</v>
      </c>
      <c r="C303" s="64">
        <v>200000</v>
      </c>
      <c r="D303" s="64">
        <v>0</v>
      </c>
      <c r="E303" s="65">
        <f t="shared" si="88"/>
        <v>200000</v>
      </c>
      <c r="F303" s="66">
        <f>-89136</f>
        <v>-89136</v>
      </c>
      <c r="G303" s="66">
        <f>89136</f>
        <v>89136</v>
      </c>
      <c r="H303" s="65">
        <f t="shared" si="89"/>
        <v>0</v>
      </c>
      <c r="I303" s="65">
        <f t="shared" si="90"/>
        <v>110864</v>
      </c>
      <c r="J303" s="65">
        <f t="shared" si="90"/>
        <v>89136</v>
      </c>
      <c r="K303" s="65">
        <f>E303+H303</f>
        <v>200000</v>
      </c>
    </row>
    <row r="304" spans="1:11" s="69" customFormat="1" ht="15" customHeight="1">
      <c r="A304" s="53">
        <v>85202</v>
      </c>
      <c r="B304" s="54" t="s">
        <v>65</v>
      </c>
      <c r="C304" s="57">
        <v>1038107</v>
      </c>
      <c r="D304" s="57">
        <v>1804880</v>
      </c>
      <c r="E304" s="56">
        <f t="shared" si="88"/>
        <v>2842987</v>
      </c>
      <c r="F304" s="57">
        <f>SUM(F305:F315)</f>
        <v>-98589</v>
      </c>
      <c r="G304" s="57">
        <f>SUM(G305:G315)</f>
        <v>0</v>
      </c>
      <c r="H304" s="56">
        <f t="shared" si="89"/>
        <v>-98589</v>
      </c>
      <c r="I304" s="56">
        <f t="shared" si="90"/>
        <v>939518</v>
      </c>
      <c r="J304" s="56">
        <f t="shared" si="90"/>
        <v>1804880</v>
      </c>
      <c r="K304" s="56">
        <f>SUM(E304+H304)</f>
        <v>2744398</v>
      </c>
    </row>
    <row r="305" spans="1:11" s="74" customFormat="1" ht="15" customHeight="1">
      <c r="A305" s="62" t="s">
        <v>44</v>
      </c>
      <c r="B305" s="63" t="s">
        <v>45</v>
      </c>
      <c r="C305" s="64">
        <v>1000</v>
      </c>
      <c r="D305" s="64">
        <v>13000</v>
      </c>
      <c r="E305" s="65">
        <f t="shared" si="88"/>
        <v>14000</v>
      </c>
      <c r="F305" s="66">
        <v>0</v>
      </c>
      <c r="G305" s="66">
        <v>-2000</v>
      </c>
      <c r="H305" s="65">
        <f t="shared" si="89"/>
        <v>-2000</v>
      </c>
      <c r="I305" s="65">
        <f t="shared" si="90"/>
        <v>1000</v>
      </c>
      <c r="J305" s="65">
        <f t="shared" si="90"/>
        <v>11000</v>
      </c>
      <c r="K305" s="65">
        <f aca="true" t="shared" si="91" ref="K305:K310">E305+H305</f>
        <v>12000</v>
      </c>
    </row>
    <row r="306" spans="1:11" s="74" customFormat="1" ht="15" customHeight="1">
      <c r="A306" s="62" t="s">
        <v>50</v>
      </c>
      <c r="B306" s="63" t="s">
        <v>51</v>
      </c>
      <c r="C306" s="64">
        <v>93720</v>
      </c>
      <c r="D306" s="64">
        <v>151260</v>
      </c>
      <c r="E306" s="65">
        <f>SUM(C306:D306)</f>
        <v>244980</v>
      </c>
      <c r="F306" s="66">
        <v>7268</v>
      </c>
      <c r="G306" s="66">
        <v>2200</v>
      </c>
      <c r="H306" s="65">
        <f>F306+G306</f>
        <v>9468</v>
      </c>
      <c r="I306" s="65">
        <f aca="true" t="shared" si="92" ref="I306:J308">C306+F306</f>
        <v>100988</v>
      </c>
      <c r="J306" s="65">
        <f t="shared" si="92"/>
        <v>153460</v>
      </c>
      <c r="K306" s="65">
        <f t="shared" si="91"/>
        <v>254448</v>
      </c>
    </row>
    <row r="307" spans="1:11" s="74" customFormat="1" ht="15" customHeight="1">
      <c r="A307" s="62" t="s">
        <v>121</v>
      </c>
      <c r="B307" s="68" t="s">
        <v>124</v>
      </c>
      <c r="C307" s="64">
        <v>3500</v>
      </c>
      <c r="D307" s="64">
        <v>3569</v>
      </c>
      <c r="E307" s="65">
        <f>SUM(C307:D307)</f>
        <v>7069</v>
      </c>
      <c r="F307" s="66">
        <v>931</v>
      </c>
      <c r="G307" s="66">
        <v>0</v>
      </c>
      <c r="H307" s="65">
        <f>F307+G307</f>
        <v>931</v>
      </c>
      <c r="I307" s="65">
        <f t="shared" si="92"/>
        <v>4431</v>
      </c>
      <c r="J307" s="65">
        <f t="shared" si="92"/>
        <v>3569</v>
      </c>
      <c r="K307" s="65">
        <f t="shared" si="91"/>
        <v>8000</v>
      </c>
    </row>
    <row r="308" spans="1:11" s="74" customFormat="1" ht="15" customHeight="1">
      <c r="A308" s="62" t="s">
        <v>72</v>
      </c>
      <c r="B308" s="63" t="s">
        <v>73</v>
      </c>
      <c r="C308" s="64">
        <v>60000</v>
      </c>
      <c r="D308" s="64">
        <v>170500</v>
      </c>
      <c r="E308" s="65">
        <f>SUM(C308:D308)</f>
        <v>230500</v>
      </c>
      <c r="F308" s="66">
        <v>9500</v>
      </c>
      <c r="G308" s="66">
        <v>0</v>
      </c>
      <c r="H308" s="65">
        <f>F308+G308</f>
        <v>9500</v>
      </c>
      <c r="I308" s="65">
        <f t="shared" si="92"/>
        <v>69500</v>
      </c>
      <c r="J308" s="65">
        <f t="shared" si="92"/>
        <v>170500</v>
      </c>
      <c r="K308" s="65">
        <f t="shared" si="91"/>
        <v>240000</v>
      </c>
    </row>
    <row r="309" spans="1:11" s="74" customFormat="1" ht="15" customHeight="1">
      <c r="A309" s="62" t="s">
        <v>55</v>
      </c>
      <c r="B309" s="63" t="s">
        <v>56</v>
      </c>
      <c r="C309" s="64">
        <v>12000</v>
      </c>
      <c r="D309" s="64">
        <v>35000</v>
      </c>
      <c r="E309" s="65">
        <f t="shared" si="88"/>
        <v>47000</v>
      </c>
      <c r="F309" s="66">
        <v>63000</v>
      </c>
      <c r="G309" s="66">
        <v>0</v>
      </c>
      <c r="H309" s="65">
        <f t="shared" si="89"/>
        <v>63000</v>
      </c>
      <c r="I309" s="65">
        <f aca="true" t="shared" si="93" ref="I309:J312">C309+F309</f>
        <v>75000</v>
      </c>
      <c r="J309" s="65">
        <f t="shared" si="93"/>
        <v>35000</v>
      </c>
      <c r="K309" s="65">
        <f t="shared" si="91"/>
        <v>110000</v>
      </c>
    </row>
    <row r="310" spans="1:11" s="74" customFormat="1" ht="15" customHeight="1">
      <c r="A310" s="62" t="s">
        <v>47</v>
      </c>
      <c r="B310" s="68" t="s">
        <v>48</v>
      </c>
      <c r="C310" s="64">
        <v>5000</v>
      </c>
      <c r="D310" s="64">
        <v>33150</v>
      </c>
      <c r="E310" s="65">
        <f t="shared" si="88"/>
        <v>38150</v>
      </c>
      <c r="F310" s="66">
        <v>5850</v>
      </c>
      <c r="G310" s="66">
        <v>0</v>
      </c>
      <c r="H310" s="65">
        <f t="shared" si="89"/>
        <v>5850</v>
      </c>
      <c r="I310" s="65">
        <f t="shared" si="93"/>
        <v>10850</v>
      </c>
      <c r="J310" s="65">
        <f t="shared" si="93"/>
        <v>33150</v>
      </c>
      <c r="K310" s="65">
        <f t="shared" si="91"/>
        <v>44000</v>
      </c>
    </row>
    <row r="311" spans="1:11" s="34" customFormat="1" ht="15" customHeight="1">
      <c r="A311" s="31" t="s">
        <v>66</v>
      </c>
      <c r="B311" s="32" t="s">
        <v>122</v>
      </c>
      <c r="C311" s="33">
        <v>0</v>
      </c>
      <c r="D311" s="33">
        <v>850</v>
      </c>
      <c r="E311" s="27">
        <f>SUM(C311:D311)</f>
        <v>850</v>
      </c>
      <c r="F311" s="33">
        <v>22</v>
      </c>
      <c r="G311" s="33">
        <v>0</v>
      </c>
      <c r="H311" s="27">
        <f t="shared" si="89"/>
        <v>22</v>
      </c>
      <c r="I311" s="27">
        <f t="shared" si="93"/>
        <v>22</v>
      </c>
      <c r="J311" s="27">
        <f t="shared" si="93"/>
        <v>850</v>
      </c>
      <c r="K311" s="27">
        <f>E311+H311</f>
        <v>872</v>
      </c>
    </row>
    <row r="312" spans="1:11" s="34" customFormat="1" ht="15" customHeight="1">
      <c r="A312" s="31" t="s">
        <v>78</v>
      </c>
      <c r="B312" s="32" t="s">
        <v>79</v>
      </c>
      <c r="C312" s="33">
        <v>200</v>
      </c>
      <c r="D312" s="33">
        <v>300</v>
      </c>
      <c r="E312" s="27">
        <f>SUM(C312:D312)</f>
        <v>500</v>
      </c>
      <c r="F312" s="33">
        <v>-100</v>
      </c>
      <c r="G312" s="33">
        <v>-200</v>
      </c>
      <c r="H312" s="27">
        <f t="shared" si="89"/>
        <v>-300</v>
      </c>
      <c r="I312" s="27">
        <f t="shared" si="93"/>
        <v>100</v>
      </c>
      <c r="J312" s="27">
        <f t="shared" si="93"/>
        <v>100</v>
      </c>
      <c r="K312" s="27">
        <f>E312+H312</f>
        <v>200</v>
      </c>
    </row>
    <row r="313" spans="1:11" s="34" customFormat="1" ht="15" customHeight="1">
      <c r="A313" s="31" t="s">
        <v>107</v>
      </c>
      <c r="B313" s="32" t="s">
        <v>123</v>
      </c>
      <c r="C313" s="33">
        <v>3000</v>
      </c>
      <c r="D313" s="33">
        <v>100</v>
      </c>
      <c r="E313" s="27">
        <f>SUM(C313:D313)</f>
        <v>3100</v>
      </c>
      <c r="F313" s="33">
        <v>-2900</v>
      </c>
      <c r="G313" s="33">
        <v>0</v>
      </c>
      <c r="H313" s="27">
        <f>F313+G313</f>
        <v>-2900</v>
      </c>
      <c r="I313" s="27">
        <f aca="true" t="shared" si="94" ref="I313:K314">C313+F313</f>
        <v>100</v>
      </c>
      <c r="J313" s="27">
        <f t="shared" si="94"/>
        <v>100</v>
      </c>
      <c r="K313" s="27">
        <f t="shared" si="94"/>
        <v>200</v>
      </c>
    </row>
    <row r="314" spans="1:11" s="34" customFormat="1" ht="15" customHeight="1">
      <c r="A314" s="31" t="s">
        <v>52</v>
      </c>
      <c r="B314" s="32" t="s">
        <v>76</v>
      </c>
      <c r="C314" s="33">
        <v>16000</v>
      </c>
      <c r="D314" s="33">
        <v>38229</v>
      </c>
      <c r="E314" s="27">
        <f>SUM(C314:D314)</f>
        <v>54229</v>
      </c>
      <c r="F314" s="33">
        <v>1840</v>
      </c>
      <c r="G314" s="33">
        <v>0</v>
      </c>
      <c r="H314" s="27">
        <f>F314+G314</f>
        <v>1840</v>
      </c>
      <c r="I314" s="27">
        <f t="shared" si="94"/>
        <v>17840</v>
      </c>
      <c r="J314" s="27">
        <f t="shared" si="94"/>
        <v>38229</v>
      </c>
      <c r="K314" s="27">
        <f t="shared" si="94"/>
        <v>56069</v>
      </c>
    </row>
    <row r="315" spans="1:11" s="76" customFormat="1" ht="15" customHeight="1">
      <c r="A315" s="58" t="s">
        <v>58</v>
      </c>
      <c r="B315" s="59" t="s">
        <v>59</v>
      </c>
      <c r="C315" s="70">
        <v>230000</v>
      </c>
      <c r="D315" s="70">
        <v>0</v>
      </c>
      <c r="E315" s="61">
        <f t="shared" si="88"/>
        <v>230000</v>
      </c>
      <c r="F315" s="60">
        <v>-184000</v>
      </c>
      <c r="G315" s="60">
        <v>0</v>
      </c>
      <c r="H315" s="61">
        <f t="shared" si="89"/>
        <v>-184000</v>
      </c>
      <c r="I315" s="61">
        <f>C315+F315</f>
        <v>46000</v>
      </c>
      <c r="J315" s="61">
        <f>D315+G315</f>
        <v>0</v>
      </c>
      <c r="K315" s="61">
        <f>E315+H315</f>
        <v>46000</v>
      </c>
    </row>
    <row r="316" spans="1:11" s="69" customFormat="1" ht="15" customHeight="1">
      <c r="A316" s="53">
        <v>85226</v>
      </c>
      <c r="B316" s="54" t="s">
        <v>143</v>
      </c>
      <c r="C316" s="57">
        <v>249038</v>
      </c>
      <c r="D316" s="57">
        <v>0</v>
      </c>
      <c r="E316" s="56">
        <f aca="true" t="shared" si="95" ref="E316:E322">SUM(C316:D316)</f>
        <v>249038</v>
      </c>
      <c r="F316" s="57">
        <f>SUM(F317:F322)</f>
        <v>0</v>
      </c>
      <c r="G316" s="57">
        <f>SUM(G317:G322)</f>
        <v>0</v>
      </c>
      <c r="H316" s="56">
        <f aca="true" t="shared" si="96" ref="H316:H322">F316+G316</f>
        <v>0</v>
      </c>
      <c r="I316" s="56">
        <f aca="true" t="shared" si="97" ref="I316:I322">C316+F316</f>
        <v>249038</v>
      </c>
      <c r="J316" s="56">
        <f aca="true" t="shared" si="98" ref="J316:J322">D316+G316</f>
        <v>0</v>
      </c>
      <c r="K316" s="56">
        <f>SUM(E316+H316)</f>
        <v>249038</v>
      </c>
    </row>
    <row r="317" spans="1:11" s="68" customFormat="1" ht="15" customHeight="1">
      <c r="A317" s="62" t="s">
        <v>53</v>
      </c>
      <c r="B317" s="63" t="s">
        <v>144</v>
      </c>
      <c r="C317" s="64">
        <v>12898</v>
      </c>
      <c r="D317" s="64">
        <v>0</v>
      </c>
      <c r="E317" s="65">
        <f t="shared" si="95"/>
        <v>12898</v>
      </c>
      <c r="F317" s="66">
        <v>-536</v>
      </c>
      <c r="G317" s="66">
        <v>0</v>
      </c>
      <c r="H317" s="65">
        <f t="shared" si="96"/>
        <v>-536</v>
      </c>
      <c r="I317" s="65">
        <f t="shared" si="97"/>
        <v>12362</v>
      </c>
      <c r="J317" s="65">
        <f t="shared" si="98"/>
        <v>0</v>
      </c>
      <c r="K317" s="65">
        <f aca="true" t="shared" si="99" ref="K317:K322">E317+H317</f>
        <v>12362</v>
      </c>
    </row>
    <row r="318" spans="1:11" s="68" customFormat="1" ht="15" customHeight="1">
      <c r="A318" s="62" t="s">
        <v>33</v>
      </c>
      <c r="B318" s="63" t="s">
        <v>34</v>
      </c>
      <c r="C318" s="64">
        <v>8052</v>
      </c>
      <c r="D318" s="64">
        <v>0</v>
      </c>
      <c r="E318" s="65">
        <f t="shared" si="95"/>
        <v>8052</v>
      </c>
      <c r="F318" s="66">
        <v>-3216</v>
      </c>
      <c r="G318" s="66">
        <v>0</v>
      </c>
      <c r="H318" s="65">
        <f t="shared" si="96"/>
        <v>-3216</v>
      </c>
      <c r="I318" s="65">
        <f>C318+F318</f>
        <v>4836</v>
      </c>
      <c r="J318" s="65">
        <f>D318+G318</f>
        <v>0</v>
      </c>
      <c r="K318" s="65">
        <f>E318+H318</f>
        <v>4836</v>
      </c>
    </row>
    <row r="319" spans="1:11" s="68" customFormat="1" ht="15" customHeight="1">
      <c r="A319" s="62" t="s">
        <v>72</v>
      </c>
      <c r="B319" s="63" t="s">
        <v>73</v>
      </c>
      <c r="C319" s="64">
        <v>2560</v>
      </c>
      <c r="D319" s="64">
        <v>0</v>
      </c>
      <c r="E319" s="65">
        <f t="shared" si="95"/>
        <v>2560</v>
      </c>
      <c r="F319" s="66">
        <v>2600</v>
      </c>
      <c r="G319" s="66">
        <v>0</v>
      </c>
      <c r="H319" s="65">
        <f t="shared" si="96"/>
        <v>2600</v>
      </c>
      <c r="I319" s="65">
        <f t="shared" si="97"/>
        <v>5160</v>
      </c>
      <c r="J319" s="65">
        <f t="shared" si="98"/>
        <v>0</v>
      </c>
      <c r="K319" s="65">
        <f t="shared" si="99"/>
        <v>5160</v>
      </c>
    </row>
    <row r="320" spans="1:11" s="68" customFormat="1" ht="15" customHeight="1">
      <c r="A320" s="62" t="s">
        <v>47</v>
      </c>
      <c r="B320" s="68" t="s">
        <v>48</v>
      </c>
      <c r="C320" s="64">
        <v>5010</v>
      </c>
      <c r="D320" s="64">
        <v>0</v>
      </c>
      <c r="E320" s="65">
        <f t="shared" si="95"/>
        <v>5010</v>
      </c>
      <c r="F320" s="66">
        <v>1200</v>
      </c>
      <c r="G320" s="66">
        <v>0</v>
      </c>
      <c r="H320" s="65">
        <f t="shared" si="96"/>
        <v>1200</v>
      </c>
      <c r="I320" s="65">
        <f t="shared" si="97"/>
        <v>6210</v>
      </c>
      <c r="J320" s="65">
        <f t="shared" si="98"/>
        <v>0</v>
      </c>
      <c r="K320" s="65">
        <f t="shared" si="99"/>
        <v>6210</v>
      </c>
    </row>
    <row r="321" spans="1:11" s="10" customFormat="1" ht="15" customHeight="1">
      <c r="A321" s="31" t="s">
        <v>66</v>
      </c>
      <c r="B321" s="32" t="s">
        <v>122</v>
      </c>
      <c r="C321" s="33">
        <v>0</v>
      </c>
      <c r="D321" s="33">
        <v>0</v>
      </c>
      <c r="E321" s="27">
        <f t="shared" si="95"/>
        <v>0</v>
      </c>
      <c r="F321" s="33">
        <v>552</v>
      </c>
      <c r="G321" s="33">
        <v>0</v>
      </c>
      <c r="H321" s="27">
        <f t="shared" si="96"/>
        <v>552</v>
      </c>
      <c r="I321" s="27">
        <f t="shared" si="97"/>
        <v>552</v>
      </c>
      <c r="J321" s="27">
        <f t="shared" si="98"/>
        <v>0</v>
      </c>
      <c r="K321" s="27">
        <f t="shared" si="99"/>
        <v>552</v>
      </c>
    </row>
    <row r="322" spans="1:11" s="13" customFormat="1" ht="15" customHeight="1">
      <c r="A322" s="78" t="s">
        <v>78</v>
      </c>
      <c r="B322" s="79" t="s">
        <v>79</v>
      </c>
      <c r="C322" s="80">
        <v>1000</v>
      </c>
      <c r="D322" s="80">
        <v>0</v>
      </c>
      <c r="E322" s="40">
        <f t="shared" si="95"/>
        <v>1000</v>
      </c>
      <c r="F322" s="80">
        <v>-600</v>
      </c>
      <c r="G322" s="80">
        <v>0</v>
      </c>
      <c r="H322" s="40">
        <f t="shared" si="96"/>
        <v>-600</v>
      </c>
      <c r="I322" s="40">
        <f t="shared" si="97"/>
        <v>400</v>
      </c>
      <c r="J322" s="40">
        <f t="shared" si="98"/>
        <v>0</v>
      </c>
      <c r="K322" s="40">
        <f t="shared" si="99"/>
        <v>400</v>
      </c>
    </row>
    <row r="323" spans="1:11" s="45" customFormat="1" ht="15" customHeight="1">
      <c r="A323" s="46" t="s">
        <v>102</v>
      </c>
      <c r="B323" s="47" t="s">
        <v>103</v>
      </c>
      <c r="C323" s="48">
        <v>82000</v>
      </c>
      <c r="D323" s="48">
        <v>132203</v>
      </c>
      <c r="E323" s="49">
        <f>SUM(C323:D323)</f>
        <v>214203</v>
      </c>
      <c r="F323" s="48">
        <f>F326</f>
        <v>-42000</v>
      </c>
      <c r="G323" s="48">
        <v>0</v>
      </c>
      <c r="H323" s="49">
        <f>F323+G323</f>
        <v>-42000</v>
      </c>
      <c r="I323" s="49">
        <f>C323+F323</f>
        <v>40000</v>
      </c>
      <c r="J323" s="49">
        <f>D323+G323</f>
        <v>132203</v>
      </c>
      <c r="K323" s="49">
        <f>E323+H323</f>
        <v>172203</v>
      </c>
    </row>
    <row r="324" spans="1:11" s="45" customFormat="1" ht="15" customHeight="1">
      <c r="A324" s="46"/>
      <c r="B324" s="47" t="s">
        <v>10</v>
      </c>
      <c r="C324" s="48"/>
      <c r="D324" s="48"/>
      <c r="E324" s="49"/>
      <c r="F324" s="48"/>
      <c r="G324" s="48"/>
      <c r="H324" s="49"/>
      <c r="I324" s="49"/>
      <c r="J324" s="49"/>
      <c r="K324" s="49"/>
    </row>
    <row r="325" spans="1:11" s="45" customFormat="1" ht="15" customHeight="1">
      <c r="A325" s="50"/>
      <c r="B325" s="11" t="s">
        <v>164</v>
      </c>
      <c r="C325" s="51">
        <v>0</v>
      </c>
      <c r="D325" s="51">
        <v>0</v>
      </c>
      <c r="E325" s="52">
        <f>SUM(C325:D325)</f>
        <v>0</v>
      </c>
      <c r="F325" s="51">
        <v>0</v>
      </c>
      <c r="G325" s="51">
        <v>0</v>
      </c>
      <c r="H325" s="52">
        <f>F325+G325</f>
        <v>0</v>
      </c>
      <c r="I325" s="52">
        <f aca="true" t="shared" si="100" ref="I325:K327">C325+F325</f>
        <v>0</v>
      </c>
      <c r="J325" s="52">
        <f t="shared" si="100"/>
        <v>0</v>
      </c>
      <c r="K325" s="52">
        <f t="shared" si="100"/>
        <v>0</v>
      </c>
    </row>
    <row r="326" spans="1:11" s="45" customFormat="1" ht="15" customHeight="1">
      <c r="A326" s="53">
        <v>85395</v>
      </c>
      <c r="B326" s="54" t="s">
        <v>31</v>
      </c>
      <c r="C326" s="55">
        <v>42000</v>
      </c>
      <c r="D326" s="55">
        <v>0</v>
      </c>
      <c r="E326" s="56">
        <f>SUM(C326:D326)</f>
        <v>42000</v>
      </c>
      <c r="F326" s="57">
        <f>SUM(F327:F327)</f>
        <v>-42000</v>
      </c>
      <c r="G326" s="57">
        <v>0</v>
      </c>
      <c r="H326" s="56">
        <f>F326+G326</f>
        <v>-42000</v>
      </c>
      <c r="I326" s="56">
        <f t="shared" si="100"/>
        <v>0</v>
      </c>
      <c r="J326" s="56">
        <f t="shared" si="100"/>
        <v>0</v>
      </c>
      <c r="K326" s="56">
        <f t="shared" si="100"/>
        <v>0</v>
      </c>
    </row>
    <row r="327" spans="1:11" s="45" customFormat="1" ht="15" customHeight="1">
      <c r="A327" s="62" t="s">
        <v>49</v>
      </c>
      <c r="B327" s="63" t="s">
        <v>104</v>
      </c>
      <c r="C327" s="64">
        <v>42000</v>
      </c>
      <c r="D327" s="64">
        <v>0</v>
      </c>
      <c r="E327" s="65">
        <f>SUM(C327:D327)</f>
        <v>42000</v>
      </c>
      <c r="F327" s="66">
        <f>-42000</f>
        <v>-42000</v>
      </c>
      <c r="G327" s="66">
        <v>0</v>
      </c>
      <c r="H327" s="65">
        <f>F327+G327</f>
        <v>-42000</v>
      </c>
      <c r="I327" s="65">
        <f t="shared" si="100"/>
        <v>0</v>
      </c>
      <c r="J327" s="65">
        <f t="shared" si="100"/>
        <v>0</v>
      </c>
      <c r="K327" s="65">
        <f t="shared" si="100"/>
        <v>0</v>
      </c>
    </row>
    <row r="328" spans="1:11" s="45" customFormat="1" ht="15" customHeight="1">
      <c r="A328" s="41" t="s">
        <v>80</v>
      </c>
      <c r="B328" s="42" t="s">
        <v>94</v>
      </c>
      <c r="C328" s="43">
        <v>4353584</v>
      </c>
      <c r="D328" s="43">
        <v>1089912</v>
      </c>
      <c r="E328" s="44">
        <f>SUM(C328:D328)</f>
        <v>5443496</v>
      </c>
      <c r="F328" s="43">
        <f>F331+F335</f>
        <v>-180470</v>
      </c>
      <c r="G328" s="43">
        <v>0</v>
      </c>
      <c r="H328" s="44">
        <f>F328+G328</f>
        <v>-180470</v>
      </c>
      <c r="I328" s="44">
        <f>C328+F328</f>
        <v>4173114</v>
      </c>
      <c r="J328" s="44">
        <f>D328+G328</f>
        <v>1089912</v>
      </c>
      <c r="K328" s="44">
        <f>E328+H328</f>
        <v>5263026</v>
      </c>
    </row>
    <row r="329" spans="1:11" s="45" customFormat="1" ht="15" customHeight="1">
      <c r="A329" s="46"/>
      <c r="B329" s="47" t="s">
        <v>10</v>
      </c>
      <c r="C329" s="48"/>
      <c r="D329" s="48"/>
      <c r="E329" s="49"/>
      <c r="F329" s="48"/>
      <c r="G329" s="48"/>
      <c r="H329" s="49"/>
      <c r="I329" s="49"/>
      <c r="J329" s="49"/>
      <c r="K329" s="49"/>
    </row>
    <row r="330" spans="1:11" s="45" customFormat="1" ht="15" customHeight="1">
      <c r="A330" s="46"/>
      <c r="B330" s="11" t="s">
        <v>164</v>
      </c>
      <c r="C330" s="48">
        <v>100000</v>
      </c>
      <c r="D330" s="48">
        <v>0</v>
      </c>
      <c r="E330" s="49">
        <f aca="true" t="shared" si="101" ref="E330:E336">SUM(C330:D330)</f>
        <v>100000</v>
      </c>
      <c r="F330" s="48">
        <f>F336</f>
        <v>-80000</v>
      </c>
      <c r="G330" s="48">
        <v>0</v>
      </c>
      <c r="H330" s="49">
        <f aca="true" t="shared" si="102" ref="H330:H336">F330+G330</f>
        <v>-80000</v>
      </c>
      <c r="I330" s="49">
        <f aca="true" t="shared" si="103" ref="I330:K334">C330+F330</f>
        <v>20000</v>
      </c>
      <c r="J330" s="49">
        <f t="shared" si="103"/>
        <v>0</v>
      </c>
      <c r="K330" s="49">
        <f t="shared" si="103"/>
        <v>20000</v>
      </c>
    </row>
    <row r="331" spans="1:11" s="69" customFormat="1" ht="15" customHeight="1">
      <c r="A331" s="71">
        <v>85406</v>
      </c>
      <c r="B331" s="69" t="s">
        <v>98</v>
      </c>
      <c r="C331" s="55">
        <v>1006117</v>
      </c>
      <c r="D331" s="55">
        <v>659512</v>
      </c>
      <c r="E331" s="56">
        <f t="shared" si="101"/>
        <v>1665629</v>
      </c>
      <c r="F331" s="55">
        <f>SUM(F332:F334)</f>
        <v>-100470</v>
      </c>
      <c r="G331" s="55">
        <v>0</v>
      </c>
      <c r="H331" s="56">
        <f t="shared" si="102"/>
        <v>-100470</v>
      </c>
      <c r="I331" s="56">
        <f t="shared" si="103"/>
        <v>905647</v>
      </c>
      <c r="J331" s="56">
        <f t="shared" si="103"/>
        <v>659512</v>
      </c>
      <c r="K331" s="56">
        <f t="shared" si="103"/>
        <v>1565159</v>
      </c>
    </row>
    <row r="332" spans="1:11" s="45" customFormat="1" ht="15" customHeight="1">
      <c r="A332" s="62" t="s">
        <v>33</v>
      </c>
      <c r="B332" s="63" t="s">
        <v>34</v>
      </c>
      <c r="C332" s="66">
        <v>44200</v>
      </c>
      <c r="D332" s="66">
        <v>0</v>
      </c>
      <c r="E332" s="65">
        <f t="shared" si="101"/>
        <v>44200</v>
      </c>
      <c r="F332" s="66">
        <f>-3800</f>
        <v>-3800</v>
      </c>
      <c r="G332" s="66">
        <v>0</v>
      </c>
      <c r="H332" s="65">
        <f t="shared" si="102"/>
        <v>-3800</v>
      </c>
      <c r="I332" s="65">
        <f aca="true" t="shared" si="104" ref="I332:K333">C332+F332</f>
        <v>40400</v>
      </c>
      <c r="J332" s="65">
        <f t="shared" si="104"/>
        <v>0</v>
      </c>
      <c r="K332" s="65">
        <f t="shared" si="104"/>
        <v>40400</v>
      </c>
    </row>
    <row r="333" spans="1:11" s="45" customFormat="1" ht="15" customHeight="1">
      <c r="A333" s="62" t="s">
        <v>55</v>
      </c>
      <c r="B333" s="63" t="s">
        <v>56</v>
      </c>
      <c r="C333" s="66">
        <v>110000</v>
      </c>
      <c r="D333" s="66">
        <v>0</v>
      </c>
      <c r="E333" s="65">
        <f t="shared" si="101"/>
        <v>110000</v>
      </c>
      <c r="F333" s="66">
        <f>-2000-95000</f>
        <v>-97000</v>
      </c>
      <c r="G333" s="66">
        <v>0</v>
      </c>
      <c r="H333" s="65">
        <f t="shared" si="102"/>
        <v>-97000</v>
      </c>
      <c r="I333" s="65">
        <f t="shared" si="104"/>
        <v>13000</v>
      </c>
      <c r="J333" s="65">
        <f t="shared" si="104"/>
        <v>0</v>
      </c>
      <c r="K333" s="65">
        <f t="shared" si="104"/>
        <v>13000</v>
      </c>
    </row>
    <row r="334" spans="1:11" s="45" customFormat="1" ht="15" customHeight="1">
      <c r="A334" s="62" t="s">
        <v>47</v>
      </c>
      <c r="B334" s="63" t="s">
        <v>48</v>
      </c>
      <c r="C334" s="66">
        <v>9317</v>
      </c>
      <c r="D334" s="66">
        <v>0</v>
      </c>
      <c r="E334" s="65">
        <f t="shared" si="101"/>
        <v>9317</v>
      </c>
      <c r="F334" s="66">
        <f>-700+1030</f>
        <v>330</v>
      </c>
      <c r="G334" s="66">
        <v>0</v>
      </c>
      <c r="H334" s="65">
        <f t="shared" si="102"/>
        <v>330</v>
      </c>
      <c r="I334" s="65">
        <f t="shared" si="103"/>
        <v>9647</v>
      </c>
      <c r="J334" s="65">
        <f t="shared" si="103"/>
        <v>0</v>
      </c>
      <c r="K334" s="65">
        <f t="shared" si="103"/>
        <v>9647</v>
      </c>
    </row>
    <row r="335" spans="1:11" s="69" customFormat="1" ht="15" customHeight="1">
      <c r="A335" s="71">
        <v>85410</v>
      </c>
      <c r="B335" s="69" t="s">
        <v>95</v>
      </c>
      <c r="C335" s="55">
        <v>903187</v>
      </c>
      <c r="D335" s="55">
        <v>0</v>
      </c>
      <c r="E335" s="56">
        <f t="shared" si="101"/>
        <v>903187</v>
      </c>
      <c r="F335" s="55">
        <f>SUM(F336:F336)</f>
        <v>-80000</v>
      </c>
      <c r="G335" s="55">
        <v>0</v>
      </c>
      <c r="H335" s="56">
        <f t="shared" si="102"/>
        <v>-80000</v>
      </c>
      <c r="I335" s="56">
        <f aca="true" t="shared" si="105" ref="I335:K336">C335+F335</f>
        <v>823187</v>
      </c>
      <c r="J335" s="56">
        <f t="shared" si="105"/>
        <v>0</v>
      </c>
      <c r="K335" s="56">
        <f t="shared" si="105"/>
        <v>823187</v>
      </c>
    </row>
    <row r="336" spans="1:11" s="59" customFormat="1" ht="15" customHeight="1">
      <c r="A336" s="58" t="s">
        <v>58</v>
      </c>
      <c r="B336" s="59" t="s">
        <v>59</v>
      </c>
      <c r="C336" s="70">
        <v>100000</v>
      </c>
      <c r="D336" s="70">
        <v>0</v>
      </c>
      <c r="E336" s="61">
        <f t="shared" si="101"/>
        <v>100000</v>
      </c>
      <c r="F336" s="60">
        <f>-80000</f>
        <v>-80000</v>
      </c>
      <c r="G336" s="60">
        <v>0</v>
      </c>
      <c r="H336" s="61">
        <f t="shared" si="102"/>
        <v>-80000</v>
      </c>
      <c r="I336" s="61">
        <f t="shared" si="105"/>
        <v>20000</v>
      </c>
      <c r="J336" s="61">
        <f t="shared" si="105"/>
        <v>0</v>
      </c>
      <c r="K336" s="61">
        <f t="shared" si="105"/>
        <v>20000</v>
      </c>
    </row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</sheetData>
  <mergeCells count="12">
    <mergeCell ref="A13:K13"/>
    <mergeCell ref="A254:K254"/>
    <mergeCell ref="A6:K6"/>
    <mergeCell ref="A7:A8"/>
    <mergeCell ref="B7:B8"/>
    <mergeCell ref="C7:E7"/>
    <mergeCell ref="F7:H7"/>
    <mergeCell ref="I7:K7"/>
    <mergeCell ref="I1:K1"/>
    <mergeCell ref="I2:K2"/>
    <mergeCell ref="I3:K3"/>
    <mergeCell ref="I4:K4"/>
  </mergeCells>
  <printOptions/>
  <pageMargins left="0" right="0" top="0.3937007874015748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2005-11-14T09:58:09Z</cp:lastPrinted>
  <dcterms:created xsi:type="dcterms:W3CDTF">2004-05-19T13:15:32Z</dcterms:created>
  <dcterms:modified xsi:type="dcterms:W3CDTF">2005-11-15T08:13:15Z</dcterms:modified>
  <cp:category/>
  <cp:version/>
  <cp:contentType/>
  <cp:contentStatus/>
</cp:coreProperties>
</file>