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<sst xmlns="http://schemas.openxmlformats.org/spreadsheetml/2006/main" count="426" uniqueCount="426">
  <si>
    <t>Załącznik nr 2</t>
  </si>
  <si>
    <t>do Uchwały  Nr XXI/316/04</t>
  </si>
  <si>
    <t>Rady Miasta Piotrkowa Tryb.</t>
  </si>
  <si>
    <t xml:space="preserve">z dnia 30.06.04 r.    </t>
  </si>
  <si>
    <t>ZMIANY  W  PLANIE  WYDATKÓW</t>
  </si>
  <si>
    <t>klasyfikacja budżetowa</t>
  </si>
  <si>
    <t>TREŚĆ</t>
  </si>
  <si>
    <t>Plan przed zmianą</t>
  </si>
  <si>
    <t>Zmiana (+):(-)</t>
  </si>
  <si>
    <t>Plan po zmianach</t>
  </si>
  <si>
    <t>śr. wł.</t>
  </si>
  <si>
    <t>dotacje</t>
  </si>
  <si>
    <t>Razem</t>
  </si>
  <si>
    <t>śr. wł.</t>
  </si>
  <si>
    <t>dotacje</t>
  </si>
  <si>
    <t>Razem</t>
  </si>
  <si>
    <t>śr. wł.</t>
  </si>
  <si>
    <t>dotacje</t>
  </si>
  <si>
    <t>Razem</t>
  </si>
  <si>
    <t>A + B</t>
  </si>
  <si>
    <t>WYDATKI OGÓŁEM   dotyczące zadań gminy i powiatu</t>
  </si>
  <si>
    <t>w tym:</t>
  </si>
  <si>
    <t>inwestycje</t>
  </si>
  <si>
    <t>WYDATKI  DOTYCZĄCE  ZADAŃ  GMINY</t>
  </si>
  <si>
    <t xml:space="preserve">A </t>
  </si>
  <si>
    <t>Wydatki ogółem</t>
  </si>
  <si>
    <t>w tym</t>
  </si>
  <si>
    <t>inwestycje</t>
  </si>
  <si>
    <t>Dział 600</t>
  </si>
  <si>
    <t>Transport i łączność</t>
  </si>
  <si>
    <t>w tym:</t>
  </si>
  <si>
    <t>inwestycje</t>
  </si>
  <si>
    <t>Lokalny transport zbiorowy</t>
  </si>
  <si>
    <t>§ 4010</t>
  </si>
  <si>
    <t>wynagrodzenia</t>
  </si>
  <si>
    <t>§ 4300</t>
  </si>
  <si>
    <t>pozostałe usługi</t>
  </si>
  <si>
    <t>Drogi publiczne gminne</t>
  </si>
  <si>
    <t>§ 4010</t>
  </si>
  <si>
    <t>wynagrodzenia</t>
  </si>
  <si>
    <t>§ 4110</t>
  </si>
  <si>
    <t>składki na ubezpieczenia społ.</t>
  </si>
  <si>
    <t>§ 4120</t>
  </si>
  <si>
    <t>składki na FP</t>
  </si>
  <si>
    <t>§ 4270</t>
  </si>
  <si>
    <t>usługi remontowe</t>
  </si>
  <si>
    <t>§ 4300</t>
  </si>
  <si>
    <t>pozostałe usługi</t>
  </si>
  <si>
    <t>§ 6050</t>
  </si>
  <si>
    <t>wydatki inwestycyjne</t>
  </si>
  <si>
    <t>§ 6052</t>
  </si>
  <si>
    <t>współ.inwest.ze środków UE</t>
  </si>
  <si>
    <t>Dział 700</t>
  </si>
  <si>
    <t>Gospodarka mieszkaniowa</t>
  </si>
  <si>
    <t>w tym:</t>
  </si>
  <si>
    <t>inwestycje</t>
  </si>
  <si>
    <t>Pozostała działalność</t>
  </si>
  <si>
    <t>§ 6050</t>
  </si>
  <si>
    <t>wydatki inwestycyjne</t>
  </si>
  <si>
    <t>Dział 710</t>
  </si>
  <si>
    <t>Działalność usługowa</t>
  </si>
  <si>
    <t>w tym:</t>
  </si>
  <si>
    <t>inwestycje</t>
  </si>
  <si>
    <t>Opracowania geodezyjne i kartograficzne</t>
  </si>
  <si>
    <t>§ 4300</t>
  </si>
  <si>
    <t>pozostałe usługi</t>
  </si>
  <si>
    <t>Pozostała działalność</t>
  </si>
  <si>
    <t>§ 4270</t>
  </si>
  <si>
    <t>usługi remontowe</t>
  </si>
  <si>
    <t>Pozostała działalność</t>
  </si>
  <si>
    <t>§ 4010</t>
  </si>
  <si>
    <t>wynagrodzenia</t>
  </si>
  <si>
    <t>§ 4110</t>
  </si>
  <si>
    <t>składki na ubezpieczenia społ.</t>
  </si>
  <si>
    <t>§ 4120</t>
  </si>
  <si>
    <t>składki na FP</t>
  </si>
  <si>
    <t>§ 4210</t>
  </si>
  <si>
    <t>materiały i wyposażenie</t>
  </si>
  <si>
    <t>§ 4240</t>
  </si>
  <si>
    <t>pomoce naukowe</t>
  </si>
  <si>
    <t>§ 4300</t>
  </si>
  <si>
    <t>pozostała usługi</t>
  </si>
  <si>
    <t>§ 4410</t>
  </si>
  <si>
    <t>podróże służbowe krajowe</t>
  </si>
  <si>
    <t>§ 4440</t>
  </si>
  <si>
    <t>odpisy na ZFŚS</t>
  </si>
  <si>
    <t>§ 6060</t>
  </si>
  <si>
    <t>zakupy inwestycjne</t>
  </si>
  <si>
    <t>Dział 750</t>
  </si>
  <si>
    <t>Administracja publiczna</t>
  </si>
  <si>
    <t>w tym:</t>
  </si>
  <si>
    <t>inwestycje</t>
  </si>
  <si>
    <t>Urzędy gmin</t>
  </si>
  <si>
    <t>§ 4010</t>
  </si>
  <si>
    <t>wynagrodzenia</t>
  </si>
  <si>
    <t>§ 4110</t>
  </si>
  <si>
    <t>skłądki na ubezpieczenia społeczne</t>
  </si>
  <si>
    <t>§ 4120</t>
  </si>
  <si>
    <t>składki na FP</t>
  </si>
  <si>
    <t>§ 4210</t>
  </si>
  <si>
    <t>materiały i wyposażenie</t>
  </si>
  <si>
    <t>§ 4270</t>
  </si>
  <si>
    <t>usługi remontowe</t>
  </si>
  <si>
    <t>§ 4300</t>
  </si>
  <si>
    <t>pozostałe usługi</t>
  </si>
  <si>
    <t>§ 4430</t>
  </si>
  <si>
    <t>różne opłaty i składki</t>
  </si>
  <si>
    <t>§ 4480</t>
  </si>
  <si>
    <t>podatek od nieruchomości</t>
  </si>
  <si>
    <t>§ 6060</t>
  </si>
  <si>
    <t>zakupy inwestycjne</t>
  </si>
  <si>
    <t>Pozostała działalność</t>
  </si>
  <si>
    <t>§ 4010</t>
  </si>
  <si>
    <t>wynagrodzenia</t>
  </si>
  <si>
    <t>§ 4110</t>
  </si>
  <si>
    <t>składki na ubezpieczenia społeczne</t>
  </si>
  <si>
    <t>§ 4120</t>
  </si>
  <si>
    <t>składki na FP</t>
  </si>
  <si>
    <t>§ 4210</t>
  </si>
  <si>
    <t>materiały i wyposażenie</t>
  </si>
  <si>
    <t>§ 4240</t>
  </si>
  <si>
    <t>pomoce naukowe</t>
  </si>
  <si>
    <t>§ 4300</t>
  </si>
  <si>
    <t>pozostałe usługi</t>
  </si>
  <si>
    <t>§ 4410</t>
  </si>
  <si>
    <t>podróże służbowe krajowe</t>
  </si>
  <si>
    <t>§ 4440</t>
  </si>
  <si>
    <t>odpisy na ZFŚS</t>
  </si>
  <si>
    <t>Dział 751</t>
  </si>
  <si>
    <t>Urzędy naczelnych organów wł.państ.</t>
  </si>
  <si>
    <t>w tym:</t>
  </si>
  <si>
    <t>inwestycje</t>
  </si>
  <si>
    <t>Wybory do PE</t>
  </si>
  <si>
    <t>§ 3030</t>
  </si>
  <si>
    <t>różne wyd. na rzecz osób fizycznych</t>
  </si>
  <si>
    <t>§ 4210</t>
  </si>
  <si>
    <t>materiały i wyposażenie</t>
  </si>
  <si>
    <t>§ 4300</t>
  </si>
  <si>
    <t>pozostałe usługi</t>
  </si>
  <si>
    <t>Dział 754</t>
  </si>
  <si>
    <t>Bezpieczeństwo publiczne</t>
  </si>
  <si>
    <t>w tym:</t>
  </si>
  <si>
    <t>inwestycje</t>
  </si>
  <si>
    <t>Straż Miejska</t>
  </si>
  <si>
    <t>§ 6060</t>
  </si>
  <si>
    <t>zakupy inwestycjne</t>
  </si>
  <si>
    <t>Dział 758</t>
  </si>
  <si>
    <t>Różne rozliczenia</t>
  </si>
  <si>
    <t>w tym:</t>
  </si>
  <si>
    <t>inwestycje</t>
  </si>
  <si>
    <t>Rezerwy ogólne i celowe</t>
  </si>
  <si>
    <t>§ 4810</t>
  </si>
  <si>
    <t>rezerwa na roboty publiczne</t>
  </si>
  <si>
    <t>§ 4810</t>
  </si>
  <si>
    <t xml:space="preserve">rezerwa oświatowa </t>
  </si>
  <si>
    <t>§ 6800</t>
  </si>
  <si>
    <t>rezerwa na PPP</t>
  </si>
  <si>
    <t>Dział 801</t>
  </si>
  <si>
    <t>Oświata i wychowanie</t>
  </si>
  <si>
    <t>w tym:</t>
  </si>
  <si>
    <t>inwestycje</t>
  </si>
  <si>
    <t>Szkoły podstawowe</t>
  </si>
  <si>
    <t>§ 4010</t>
  </si>
  <si>
    <t>wynagrodzenie</t>
  </si>
  <si>
    <t>§ 4040</t>
  </si>
  <si>
    <t>dodatkowe wynagrodzenie</t>
  </si>
  <si>
    <t>§ 4240</t>
  </si>
  <si>
    <t>pomoce naukowe</t>
  </si>
  <si>
    <t>§ 4270</t>
  </si>
  <si>
    <t>usługi remontowe</t>
  </si>
  <si>
    <t>§ 4300</t>
  </si>
  <si>
    <t>pozostał usługi</t>
  </si>
  <si>
    <t>§ 6050</t>
  </si>
  <si>
    <t>wydatki inwestycjne</t>
  </si>
  <si>
    <t>Przedszkola</t>
  </si>
  <si>
    <t>§ 3020</t>
  </si>
  <si>
    <t>nagrody i wydatki nie zalicz.do wynagrodz.</t>
  </si>
  <si>
    <t>§ 4010</t>
  </si>
  <si>
    <t>wynagrodzenie</t>
  </si>
  <si>
    <t>§ 4040</t>
  </si>
  <si>
    <t>dodatkowe wynagrodzenie</t>
  </si>
  <si>
    <t>§ 6050</t>
  </si>
  <si>
    <t>wydatki inwestycjne</t>
  </si>
  <si>
    <t xml:space="preserve">Gimnazja </t>
  </si>
  <si>
    <t>§ 4010</t>
  </si>
  <si>
    <t>wynagrodzenie</t>
  </si>
  <si>
    <t>§ 4040</t>
  </si>
  <si>
    <t>dodatkowe wynagrodzenie</t>
  </si>
  <si>
    <t>§ 4270</t>
  </si>
  <si>
    <t>usługi remontowe</t>
  </si>
  <si>
    <t>§ 4300</t>
  </si>
  <si>
    <t>pozostał usługi</t>
  </si>
  <si>
    <t>§ 4430</t>
  </si>
  <si>
    <t xml:space="preserve">różne opłaty i składki </t>
  </si>
  <si>
    <t>Dokształcanie i doskonalenie nauczycieli</t>
  </si>
  <si>
    <t>§ 4010</t>
  </si>
  <si>
    <t>wynagrodzenie</t>
  </si>
  <si>
    <t>§ 4040</t>
  </si>
  <si>
    <t>dodatkowe wynagrodzenie</t>
  </si>
  <si>
    <t>Pozostała działalność</t>
  </si>
  <si>
    <t>§ 4300</t>
  </si>
  <si>
    <t>pozostałe usługi</t>
  </si>
  <si>
    <t>Dział 851</t>
  </si>
  <si>
    <t>Ochrona zdrowia</t>
  </si>
  <si>
    <t>w tym:</t>
  </si>
  <si>
    <t>inwestycje</t>
  </si>
  <si>
    <t>Przeciwdziałalnie alkoholizm.</t>
  </si>
  <si>
    <t>§ 4110</t>
  </si>
  <si>
    <t>składki na ubezpieczenia społ.</t>
  </si>
  <si>
    <t>§ 4120</t>
  </si>
  <si>
    <t>składki na FP</t>
  </si>
  <si>
    <t>§ 4210</t>
  </si>
  <si>
    <t>materiały i wyposażenie</t>
  </si>
  <si>
    <t>§ 4220</t>
  </si>
  <si>
    <t>zakup żywności</t>
  </si>
  <si>
    <t>§ 4240</t>
  </si>
  <si>
    <t>pomoce naukowe</t>
  </si>
  <si>
    <t>§ 4300</t>
  </si>
  <si>
    <t>pozostałe usługi</t>
  </si>
  <si>
    <t>Dział 852</t>
  </si>
  <si>
    <t>Pomoc społeczna</t>
  </si>
  <si>
    <t>w tym:</t>
  </si>
  <si>
    <t>inwestycje</t>
  </si>
  <si>
    <t>świadczenia społeczne</t>
  </si>
  <si>
    <t>§ 6060</t>
  </si>
  <si>
    <t>zakup inwestycyjne</t>
  </si>
  <si>
    <t>Składki na ubezpieczenia zdrowotne</t>
  </si>
  <si>
    <t>§ 4130</t>
  </si>
  <si>
    <t>skałdki na ubezpieczenia zdrowotne</t>
  </si>
  <si>
    <t>Zasiłki i pomoc w naturze</t>
  </si>
  <si>
    <t>§ 2910</t>
  </si>
  <si>
    <t>zwrot dotacji</t>
  </si>
  <si>
    <t>Dział 853</t>
  </si>
  <si>
    <t>Pozostałe zadania w zak.polityk.społ.</t>
  </si>
  <si>
    <t>w tym:</t>
  </si>
  <si>
    <t>inwestycje</t>
  </si>
  <si>
    <t>Żłobek</t>
  </si>
  <si>
    <t>§ 4040</t>
  </si>
  <si>
    <t>dodatkowe wynagrodzenie</t>
  </si>
  <si>
    <t>§ 4210</t>
  </si>
  <si>
    <t>materiały i wyposażenie</t>
  </si>
  <si>
    <t>§ 4430</t>
  </si>
  <si>
    <t xml:space="preserve">różne opłaty i składki </t>
  </si>
  <si>
    <t>§ 4480</t>
  </si>
  <si>
    <t>podatek od nieruchomości</t>
  </si>
  <si>
    <t>Dział 854</t>
  </si>
  <si>
    <t>Edukacyjna opieka wychowawcza</t>
  </si>
  <si>
    <t>w tym:</t>
  </si>
  <si>
    <t>inwestycje</t>
  </si>
  <si>
    <t>Światlica szklona</t>
  </si>
  <si>
    <t>§ 4010</t>
  </si>
  <si>
    <t>wynagrodzenia</t>
  </si>
  <si>
    <t>§ 4040</t>
  </si>
  <si>
    <t>dodatkowe wynagrodzenie</t>
  </si>
  <si>
    <t>§ 4110</t>
  </si>
  <si>
    <t>składki na ubezpieczenia społeczne</t>
  </si>
  <si>
    <t>Dział 900</t>
  </si>
  <si>
    <t>Gospodarka komunalna</t>
  </si>
  <si>
    <t>w tym:</t>
  </si>
  <si>
    <t>inwestycje</t>
  </si>
  <si>
    <t>Gospodarka ściekowa i ochrona wód</t>
  </si>
  <si>
    <t>§ 4300</t>
  </si>
  <si>
    <t>pozostałe usługi</t>
  </si>
  <si>
    <t>§ 6050</t>
  </si>
  <si>
    <t>wydatki inwestycyjne</t>
  </si>
  <si>
    <t>Oświatlenie ulic</t>
  </si>
  <si>
    <t>§ 4270</t>
  </si>
  <si>
    <t>usługi remontowe</t>
  </si>
  <si>
    <t>Pozostała działalność</t>
  </si>
  <si>
    <t>§ 4110</t>
  </si>
  <si>
    <t>składki na ubezpieczenia społ.</t>
  </si>
  <si>
    <t>§ 4120</t>
  </si>
  <si>
    <t>składki na FP</t>
  </si>
  <si>
    <t>§ 4210</t>
  </si>
  <si>
    <t>materiały i wyposażenie</t>
  </si>
  <si>
    <t>§ 4300</t>
  </si>
  <si>
    <t>pozostałe usługi</t>
  </si>
  <si>
    <t>§ 4590</t>
  </si>
  <si>
    <t>kary i odszkodowania</t>
  </si>
  <si>
    <t>§ 6050</t>
  </si>
  <si>
    <t>wydatki inwestycyjne</t>
  </si>
  <si>
    <t>§ 6060</t>
  </si>
  <si>
    <t>zakupy inwestycjne</t>
  </si>
  <si>
    <t>Dział 921</t>
  </si>
  <si>
    <t xml:space="preserve">Kultura i ochorna dziedz.nar. </t>
  </si>
  <si>
    <t>w tym:</t>
  </si>
  <si>
    <t>inwestycje</t>
  </si>
  <si>
    <t>Pozostałe zadania w zakresie kultury</t>
  </si>
  <si>
    <t>§ 2820</t>
  </si>
  <si>
    <t>dotacje dla stowarzyszeń</t>
  </si>
  <si>
    <t>Domu i ośrodki kultury</t>
  </si>
  <si>
    <t>§ 2550</t>
  </si>
  <si>
    <t>dotacje dla instytucji kultury</t>
  </si>
  <si>
    <t>Pozostała działalność</t>
  </si>
  <si>
    <t>§ 4300</t>
  </si>
  <si>
    <t>pozostałe usługi</t>
  </si>
  <si>
    <t>Dział 926</t>
  </si>
  <si>
    <t>Kultura fizyczna i sport</t>
  </si>
  <si>
    <t>w tym:</t>
  </si>
  <si>
    <t>inwestycje</t>
  </si>
  <si>
    <t>Instytucje kultury fizycznej</t>
  </si>
  <si>
    <t>§ 4210</t>
  </si>
  <si>
    <t>materiały i wyposażenie</t>
  </si>
  <si>
    <t>§ 4300</t>
  </si>
  <si>
    <t>pozostałe uslugi</t>
  </si>
  <si>
    <t>Pozostałe zadania w zakr.kul.fizycznej</t>
  </si>
  <si>
    <t>§ 2820</t>
  </si>
  <si>
    <t>dotacje dla stowarzyszeń</t>
  </si>
  <si>
    <t>Pozostała działalność</t>
  </si>
  <si>
    <t>§ 6050</t>
  </si>
  <si>
    <t>wydatki inwestycjne</t>
  </si>
  <si>
    <t>WYDATKI  DOTYCZĄCE  ZADAŃ  POWIATU</t>
  </si>
  <si>
    <t>B</t>
  </si>
  <si>
    <t>Wydatki ogółem</t>
  </si>
  <si>
    <t>w tym</t>
  </si>
  <si>
    <t>inwestycje</t>
  </si>
  <si>
    <t>Dział 600</t>
  </si>
  <si>
    <t>Trmansport i łączność</t>
  </si>
  <si>
    <t>w tym:</t>
  </si>
  <si>
    <t>inwestycje</t>
  </si>
  <si>
    <t>Drogi publiczne</t>
  </si>
  <si>
    <t>§ 3020</t>
  </si>
  <si>
    <t>nagrody i wydatki osob. nie zal.do wyn.</t>
  </si>
  <si>
    <t>§ 4010</t>
  </si>
  <si>
    <t>wynagrodzenia</t>
  </si>
  <si>
    <t>§ 4100</t>
  </si>
  <si>
    <t>wynagrodzenia prowizyjne</t>
  </si>
  <si>
    <t>§ 4110</t>
  </si>
  <si>
    <t>składki na ubezpieczenia społ.</t>
  </si>
  <si>
    <t>§ 4120</t>
  </si>
  <si>
    <t>składki na FP</t>
  </si>
  <si>
    <t>§ 4140</t>
  </si>
  <si>
    <t>wpłaty na PFRON</t>
  </si>
  <si>
    <t>§ 4240</t>
  </si>
  <si>
    <t>pomoce naukowe</t>
  </si>
  <si>
    <t>§ 4260</t>
  </si>
  <si>
    <t>energia</t>
  </si>
  <si>
    <t>§ 4270</t>
  </si>
  <si>
    <t>usługi remontowe</t>
  </si>
  <si>
    <t>§ 4300</t>
  </si>
  <si>
    <t>pozostałe usługi</t>
  </si>
  <si>
    <t>§ 4600</t>
  </si>
  <si>
    <t>kary i odszkodowania</t>
  </si>
  <si>
    <t>§ 6050</t>
  </si>
  <si>
    <t>wydatki inwestycyjne</t>
  </si>
  <si>
    <t>§ 6060</t>
  </si>
  <si>
    <t>zakupy inwestycjne</t>
  </si>
  <si>
    <t>Dział 750</t>
  </si>
  <si>
    <t>Administracja publiczna</t>
  </si>
  <si>
    <t>w tym:</t>
  </si>
  <si>
    <t>inwestycje</t>
  </si>
  <si>
    <t>Starostwo powiatowe</t>
  </si>
  <si>
    <t>§ 4210</t>
  </si>
  <si>
    <t>materiały i wyposażenie</t>
  </si>
  <si>
    <t>§ 4300</t>
  </si>
  <si>
    <t>pozostałe usługi</t>
  </si>
  <si>
    <t>Dział 754</t>
  </si>
  <si>
    <t>Bezpieczeństwo publiczne</t>
  </si>
  <si>
    <t>w tym:</t>
  </si>
  <si>
    <t>inwestycje</t>
  </si>
  <si>
    <t>Komendy powiatowe policji</t>
  </si>
  <si>
    <t>§ 2950</t>
  </si>
  <si>
    <t>wpłaty na rzecz środków specjalnych</t>
  </si>
  <si>
    <t>§ 6300</t>
  </si>
  <si>
    <t>wydatki na pomoc finansową</t>
  </si>
  <si>
    <t>Komendy powiatowe PSP</t>
  </si>
  <si>
    <t>§ 4210</t>
  </si>
  <si>
    <t>materiały i wyposażenie</t>
  </si>
  <si>
    <t>Dział 801</t>
  </si>
  <si>
    <t xml:space="preserve">Oświata i wychowanie </t>
  </si>
  <si>
    <t>w tym:</t>
  </si>
  <si>
    <t>inwestycje</t>
  </si>
  <si>
    <t>Licea ogólnokształcące</t>
  </si>
  <si>
    <t>§ 4270</t>
  </si>
  <si>
    <t>uslugi remontowe</t>
  </si>
  <si>
    <t>Szkoły zawodowe</t>
  </si>
  <si>
    <t>§ 4010</t>
  </si>
  <si>
    <t>wynagrodzenia</t>
  </si>
  <si>
    <t>§ 4040</t>
  </si>
  <si>
    <t>dodatkowe wynagrodzenie</t>
  </si>
  <si>
    <t>§ 4270</t>
  </si>
  <si>
    <t>usługi remontowe</t>
  </si>
  <si>
    <t>§ 4300</t>
  </si>
  <si>
    <t>pozostałe usługi</t>
  </si>
  <si>
    <t>§ 4440</t>
  </si>
  <si>
    <t>odpisy na ZFŚS</t>
  </si>
  <si>
    <t>§ 6050</t>
  </si>
  <si>
    <t>wydatki inwestycyjne</t>
  </si>
  <si>
    <t>Centra kształcenia ustaw.i pr.</t>
  </si>
  <si>
    <t>§ 4270</t>
  </si>
  <si>
    <t>usługi remontowe</t>
  </si>
  <si>
    <t>Dział 852</t>
  </si>
  <si>
    <t>Pomoc społeczna</t>
  </si>
  <si>
    <t>w tym:</t>
  </si>
  <si>
    <t>inwestycje</t>
  </si>
  <si>
    <t>Placówki opiekuńczo-wychow.</t>
  </si>
  <si>
    <t>§ 6050</t>
  </si>
  <si>
    <t>wydatki inwestycyjne</t>
  </si>
  <si>
    <t>Domy pomocy społecznej</t>
  </si>
  <si>
    <t>§ 4040</t>
  </si>
  <si>
    <t>dodatkowe wynagrodzenie</t>
  </si>
  <si>
    <t>§ 4110</t>
  </si>
  <si>
    <t>składki na ubezpieczenia społ.</t>
  </si>
  <si>
    <t>§ 4120</t>
  </si>
  <si>
    <t>składki na FP</t>
  </si>
  <si>
    <t>§ 4220</t>
  </si>
  <si>
    <t>zakupy żywności</t>
  </si>
  <si>
    <t>§ 4480</t>
  </si>
  <si>
    <t>podatek od nieruchomości</t>
  </si>
  <si>
    <t>Ośrodki adopcyjno-opiekuńcze</t>
  </si>
  <si>
    <t>§ 4440</t>
  </si>
  <si>
    <t>odpisy na ZFŚS</t>
  </si>
  <si>
    <t>Dział 853</t>
  </si>
  <si>
    <t>Pozost.zadan.w zak.pomoc.</t>
  </si>
  <si>
    <t>w tym:</t>
  </si>
  <si>
    <t>inwestycje</t>
  </si>
  <si>
    <t>Pozostała działalność</t>
  </si>
  <si>
    <t>§ 4440</t>
  </si>
  <si>
    <t>odpisy na ZFŚS</t>
  </si>
  <si>
    <t>Dział 900</t>
  </si>
  <si>
    <t>Gospodarka komunalna</t>
  </si>
  <si>
    <t>w tym:</t>
  </si>
  <si>
    <t>inwestycje</t>
  </si>
  <si>
    <t>Pozostała działalność</t>
  </si>
  <si>
    <t>§ 4270</t>
  </si>
  <si>
    <t>usługi remontowe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</si>
</sst>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4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4" fontId="3" fillId="0" borderId="3" xfId="0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4" xfId="0" applyFont="1" applyBorder="1" applyAlignment="1">
      <alignment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 horizontal="right"/>
    </xf>
    <xf numFmtId="164" fontId="3" fillId="0" borderId="3" xfId="0" applyFont="1" applyBorder="1" applyAlignment="1">
      <alignment horizontal="center"/>
    </xf>
    <xf numFmtId="164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 horizontal="right"/>
    </xf>
    <xf numFmtId="164" fontId="3" fillId="0" borderId="4" xfId="0" applyFont="1" applyBorder="1" applyAlignment="1">
      <alignment horizontal="center"/>
    </xf>
    <xf numFmtId="164" fontId="3" fillId="0" borderId="4" xfId="0" applyFont="1" applyBorder="1" applyAlignment="1">
      <alignment/>
    </xf>
    <xf numFmtId="165" fontId="3" fillId="0" borderId="4" xfId="0" applyNumberFormat="1" applyFont="1" applyBorder="1" applyAlignment="1">
      <alignment horizontal="right"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 horizontal="right"/>
    </xf>
    <xf numFmtId="165" fontId="0" fillId="0" borderId="2" xfId="0" applyNumberFormat="1" applyFont="1" applyBorder="1" applyAlignment="1">
      <alignment horizontal="right" vertical="center" wrapText="1"/>
    </xf>
    <xf numFmtId="164" fontId="0" fillId="0" borderId="3" xfId="0" applyBorder="1" applyAlignment="1">
      <alignment horizontal="center"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 horizontal="right"/>
    </xf>
    <xf numFmtId="165" fontId="0" fillId="0" borderId="3" xfId="0" applyNumberFormat="1" applyFont="1" applyBorder="1" applyAlignment="1">
      <alignment horizontal="right" vertic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 vertical="center" wrapText="1"/>
    </xf>
    <xf numFmtId="164" fontId="0" fillId="0" borderId="7" xfId="0" applyBorder="1" applyAlignment="1">
      <alignment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 horizontal="right"/>
    </xf>
    <xf numFmtId="164" fontId="0" fillId="0" borderId="8" xfId="0" applyBorder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 wrapText="1"/>
    </xf>
    <xf numFmtId="164" fontId="0" fillId="0" borderId="1" xfId="0" applyBorder="1" applyAlignment="1">
      <alignment/>
    </xf>
    <xf numFmtId="165" fontId="0" fillId="0" borderId="0" xfId="0" applyNumberFormat="1" applyFont="1" applyBorder="1" applyAlignment="1">
      <alignment horizontal="right" vertical="center" wrapText="1"/>
    </xf>
    <xf numFmtId="165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workbookViewId="0" topLeftCell="B1">
      <selection activeCell="B2" sqref="B2"/>
    </sheetView>
  </sheetViews>
  <sheetFormatPr defaultColWidth="9.00390625" defaultRowHeight="12.75"/>
  <cols>
    <col min="1" max="1" width="11.375" style="1" customWidth="1"/>
    <col min="2" max="2" width="35.375" style="1" customWidth="1"/>
    <col min="3" max="3" width="11.375" style="1" customWidth="1"/>
    <col min="4" max="4" width="10.25390625" style="1" customWidth="1"/>
    <col min="5" max="5" width="11.25390625" style="1" customWidth="1"/>
    <col min="6" max="6" width="10.125" style="1" customWidth="1"/>
    <col min="7" max="7" width="9.00390625" style="0" customWidth="1"/>
    <col min="8" max="8" width="10.00390625" style="1" customWidth="1"/>
    <col min="9" max="9" width="11.00390625" style="1" customWidth="1"/>
    <col min="10" max="10" width="10.375" style="1" customWidth="1"/>
    <col min="11" max="11" width="11.25390625" style="1" customWidth="1"/>
    <col min="12" max="256" width="9.00390625" style="0" customWidth="1"/>
  </cols>
  <sheetData>
    <row r="1" spans="8:10" ht="12.75">
      <c r="H1" s="1"/>
      <c r="I1" s="2" t="s">
        <v>0</v>
      </c>
      <c r="J1" s="2"/>
    </row>
    <row r="2" spans="8:11" ht="12.75">
      <c r="H2" s="1"/>
      <c r="I2" s="2" t="s">
        <v>1</v>
      </c>
      <c r="J2" s="2"/>
      <c r="K2" s="2"/>
    </row>
    <row r="3" spans="8:11" ht="12.75">
      <c r="H3" s="1"/>
      <c r="I3" s="2" t="s">
        <v>2</v>
      </c>
      <c r="J3" s="2"/>
      <c r="K3" s="2"/>
    </row>
    <row r="4" spans="8:11" ht="12.75">
      <c r="H4" s="1"/>
      <c r="I4" s="2" t="s">
        <v>3</v>
      </c>
      <c r="J4" s="2"/>
      <c r="K4" s="2"/>
    </row>
    <row r="5" ht="12.75"/>
    <row r="6" spans="1:11" ht="35.2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 customHeight="1">
      <c r="A7" s="4" t="s">
        <v>5</v>
      </c>
      <c r="B7" s="4" t="s">
        <v>6</v>
      </c>
      <c r="C7" s="5" t="s">
        <v>7</v>
      </c>
      <c r="D7" s="5"/>
      <c r="E7" s="5"/>
      <c r="F7" s="5" t="s">
        <v>8</v>
      </c>
      <c r="G7" s="5"/>
      <c r="H7" s="5"/>
      <c r="I7" s="5" t="s">
        <v>9</v>
      </c>
      <c r="J7" s="5"/>
      <c r="K7" s="5"/>
    </row>
    <row r="8" spans="1:11" ht="17.25" customHeight="1">
      <c r="A8" s="4"/>
      <c r="B8" s="4"/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</row>
    <row r="9" spans="1:1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33" customHeight="1">
      <c r="A10" s="7" t="s">
        <v>19</v>
      </c>
      <c r="B10" s="8" t="s">
        <v>20</v>
      </c>
      <c r="C10" s="9">
        <v>153501970</v>
      </c>
      <c r="D10" s="9">
        <v>21469777</v>
      </c>
      <c r="E10" s="9">
        <f>SUM(C10:D10)</f>
        <v>174971747</v>
      </c>
      <c r="F10" s="9">
        <f>F14+F192</f>
        <v>564383</v>
      </c>
      <c r="G10" s="9">
        <f>G14+G192</f>
        <v>-898242</v>
      </c>
      <c r="H10" s="9">
        <f>SUM(F10:G10)</f>
        <v>-333859</v>
      </c>
      <c r="I10" s="9">
        <f>C10+F10</f>
        <v>154066353</v>
      </c>
      <c r="J10" s="9">
        <f>D10+G10</f>
        <v>20571535</v>
      </c>
      <c r="K10" s="9">
        <f>E10+H10</f>
        <v>174637888</v>
      </c>
    </row>
    <row r="11" spans="1:11" ht="12.75" customHeight="1">
      <c r="A11" s="10"/>
      <c r="B11" s="10" t="s">
        <v>21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 customHeight="1">
      <c r="A12" s="12"/>
      <c r="B12" s="12" t="s">
        <v>22</v>
      </c>
      <c r="C12" s="13">
        <v>22784170</v>
      </c>
      <c r="D12" s="13">
        <v>1807500</v>
      </c>
      <c r="E12" s="13">
        <f>SUM(C12:D12)</f>
        <v>24591670</v>
      </c>
      <c r="F12" s="13">
        <f>F16+F194</f>
        <v>1999299</v>
      </c>
      <c r="G12" s="13">
        <f>G16+G194</f>
        <v>-778576</v>
      </c>
      <c r="H12" s="13">
        <f>SUM(F12:G12)</f>
        <v>1220723</v>
      </c>
      <c r="I12" s="13">
        <f>C12+F12</f>
        <v>24783469</v>
      </c>
      <c r="J12" s="13">
        <f>D12+G12</f>
        <v>1028924</v>
      </c>
      <c r="K12" s="13">
        <f>E12+H12</f>
        <v>25812393</v>
      </c>
    </row>
    <row r="13" spans="1:11" ht="25.5" customHeight="1">
      <c r="A13" s="4" t="s">
        <v>23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 customHeight="1">
      <c r="A14" s="6" t="s">
        <v>24</v>
      </c>
      <c r="B14" s="16" t="s">
        <v>25</v>
      </c>
      <c r="C14" s="17">
        <v>102542717</v>
      </c>
      <c r="D14" s="17">
        <v>11712492</v>
      </c>
      <c r="E14" s="9">
        <f>SUM(C14:D14)</f>
        <v>114255209</v>
      </c>
      <c r="F14" s="17">
        <f>F17+F31+F36+F53+F75+F82+F87+F94+F121+F131+F140+F148+F155+F171+F180</f>
        <v>-512767</v>
      </c>
      <c r="G14" s="17">
        <f>G17+G31+G36+G53+G82+G87+G94+G121+G131+G140+G148+G155+G171+G180</f>
        <v>-911742</v>
      </c>
      <c r="H14" s="9">
        <f>SUM(F14:G14)</f>
        <v>-1424509</v>
      </c>
      <c r="I14" s="9">
        <f>C14+F14</f>
        <v>102029950</v>
      </c>
      <c r="J14" s="9">
        <f>D14+G14</f>
        <v>10800750</v>
      </c>
      <c r="K14" s="9">
        <f>E14+H14</f>
        <v>112830700</v>
      </c>
    </row>
    <row r="15" spans="1:11" ht="12.75" customHeight="1">
      <c r="A15" s="18"/>
      <c r="B15" s="19" t="s">
        <v>26</v>
      </c>
      <c r="C15" s="20"/>
      <c r="D15" s="20"/>
      <c r="E15" s="20"/>
      <c r="F15" s="20"/>
      <c r="G15" s="20"/>
      <c r="H15" s="11"/>
      <c r="I15" s="11"/>
      <c r="J15" s="11"/>
      <c r="K15" s="11"/>
    </row>
    <row r="16" spans="1:11" ht="12.75" customHeight="1">
      <c r="A16" s="21"/>
      <c r="B16" s="22" t="s">
        <v>27</v>
      </c>
      <c r="C16" s="23">
        <v>15945528</v>
      </c>
      <c r="D16" s="23">
        <v>1743500</v>
      </c>
      <c r="E16" s="13">
        <f>SUM(C16:D16)</f>
        <v>17689028</v>
      </c>
      <c r="F16" s="23">
        <f>F19+F33+F38+F55+F84+F89+F96+F123+F133+F142+F150+F157+F173+F182</f>
        <v>-115708</v>
      </c>
      <c r="G16" s="23">
        <f>G19+G33+G38+G55+G84+G89+G96+G123+G133+G142+G150+G157+G173+G182</f>
        <v>-778576</v>
      </c>
      <c r="H16" s="13">
        <f>SUM(F16:G16)</f>
        <v>-894284</v>
      </c>
      <c r="I16" s="13">
        <f aca="true" t="shared" si="0" ref="I16:K17">C16+F16</f>
        <v>15829820</v>
      </c>
      <c r="J16" s="13">
        <f t="shared" si="0"/>
        <v>964924</v>
      </c>
      <c r="K16" s="13">
        <f t="shared" si="0"/>
        <v>16794744</v>
      </c>
    </row>
    <row r="17" spans="1:11" ht="12.75" customHeight="1">
      <c r="A17" s="6" t="s">
        <v>28</v>
      </c>
      <c r="B17" s="16" t="s">
        <v>29</v>
      </c>
      <c r="C17" s="17">
        <v>9045886</v>
      </c>
      <c r="D17" s="17">
        <v>0</v>
      </c>
      <c r="E17" s="9">
        <f>SUM(C17:D17)</f>
        <v>9045886</v>
      </c>
      <c r="F17" s="17">
        <f>F23</f>
        <v>635801</v>
      </c>
      <c r="G17" s="17">
        <f>G23</f>
        <v>0</v>
      </c>
      <c r="H17" s="9">
        <f>F17+G17</f>
        <v>635801</v>
      </c>
      <c r="I17" s="9">
        <f t="shared" si="0"/>
        <v>9681687</v>
      </c>
      <c r="J17" s="9">
        <f t="shared" si="0"/>
        <v>0</v>
      </c>
      <c r="K17" s="9">
        <f t="shared" si="0"/>
        <v>9681687</v>
      </c>
    </row>
    <row r="18" spans="1:11" ht="12.75" customHeight="1">
      <c r="A18" s="18"/>
      <c r="B18" s="19" t="s">
        <v>30</v>
      </c>
      <c r="C18" s="20"/>
      <c r="D18" s="20"/>
      <c r="E18" s="11"/>
      <c r="F18" s="20"/>
      <c r="G18" s="20"/>
      <c r="H18" s="11"/>
      <c r="I18" s="11"/>
      <c r="J18" s="11"/>
      <c r="K18" s="11"/>
    </row>
    <row r="19" spans="1:11" ht="12.75" customHeight="1">
      <c r="A19" s="21"/>
      <c r="B19" s="22" t="s">
        <v>31</v>
      </c>
      <c r="C19" s="23">
        <v>3940000</v>
      </c>
      <c r="D19" s="23">
        <v>0</v>
      </c>
      <c r="E19" s="13">
        <f aca="true" t="shared" si="1" ref="E19:E29">SUM(C19:D19)</f>
        <v>3940000</v>
      </c>
      <c r="F19" s="23">
        <f>F29+F30</f>
        <v>1235000</v>
      </c>
      <c r="G19" s="23">
        <v>0</v>
      </c>
      <c r="H19" s="13">
        <f aca="true" t="shared" si="2" ref="H19:H29">F19+G19</f>
        <v>1235000</v>
      </c>
      <c r="I19" s="13">
        <f aca="true" t="shared" si="3" ref="I19:K30">C19+F19</f>
        <v>5175000</v>
      </c>
      <c r="J19" s="13">
        <f t="shared" si="3"/>
        <v>0</v>
      </c>
      <c r="K19" s="13">
        <f t="shared" si="3"/>
        <v>5175000</v>
      </c>
    </row>
    <row r="20" spans="1:11" ht="12.75" customHeight="1">
      <c r="A20" s="24">
        <v>60004</v>
      </c>
      <c r="B20" s="25" t="s">
        <v>32</v>
      </c>
      <c r="C20" s="26">
        <v>2956943</v>
      </c>
      <c r="D20" s="26">
        <v>0</v>
      </c>
      <c r="E20" s="27">
        <f t="shared" si="1"/>
        <v>2956943</v>
      </c>
      <c r="F20" s="26">
        <f>SUM(F21:F22)</f>
        <v>0</v>
      </c>
      <c r="G20" s="26">
        <v>0</v>
      </c>
      <c r="H20" s="27">
        <f t="shared" si="2"/>
        <v>0</v>
      </c>
      <c r="I20" s="27">
        <f t="shared" si="3"/>
        <v>2956943</v>
      </c>
      <c r="J20" s="27">
        <f t="shared" si="3"/>
        <v>0</v>
      </c>
      <c r="K20" s="27">
        <f t="shared" si="3"/>
        <v>2956943</v>
      </c>
    </row>
    <row r="21" spans="1:11" ht="12.75" customHeight="1">
      <c r="A21" s="28" t="s">
        <v>33</v>
      </c>
      <c r="B21" s="29" t="s">
        <v>34</v>
      </c>
      <c r="C21" s="30">
        <v>113300</v>
      </c>
      <c r="D21" s="30">
        <v>0</v>
      </c>
      <c r="E21" s="31">
        <f t="shared" si="1"/>
        <v>113300</v>
      </c>
      <c r="F21" s="30">
        <v>-10400</v>
      </c>
      <c r="G21" s="30">
        <v>0</v>
      </c>
      <c r="H21" s="31">
        <f t="shared" si="2"/>
        <v>-10400</v>
      </c>
      <c r="I21" s="31">
        <f aca="true" t="shared" si="4" ref="I21:K22">C21+F21</f>
        <v>102900</v>
      </c>
      <c r="J21" s="31">
        <f t="shared" si="4"/>
        <v>0</v>
      </c>
      <c r="K21" s="31">
        <f t="shared" si="4"/>
        <v>102900</v>
      </c>
    </row>
    <row r="22" spans="1:11" ht="12.75" customHeight="1">
      <c r="A22" s="28" t="s">
        <v>35</v>
      </c>
      <c r="B22" s="29" t="s">
        <v>36</v>
      </c>
      <c r="C22" s="30">
        <v>2715000</v>
      </c>
      <c r="D22" s="30">
        <v>0</v>
      </c>
      <c r="E22" s="31">
        <f t="shared" si="1"/>
        <v>2715000</v>
      </c>
      <c r="F22" s="30">
        <v>10400</v>
      </c>
      <c r="G22" s="30">
        <v>0</v>
      </c>
      <c r="H22" s="31">
        <f t="shared" si="2"/>
        <v>10400</v>
      </c>
      <c r="I22" s="31">
        <f t="shared" si="4"/>
        <v>2725400</v>
      </c>
      <c r="J22" s="31">
        <f t="shared" si="4"/>
        <v>0</v>
      </c>
      <c r="K22" s="31">
        <f t="shared" si="4"/>
        <v>2725400</v>
      </c>
    </row>
    <row r="23" spans="1:11" ht="12.75" customHeight="1">
      <c r="A23" s="24">
        <v>60016</v>
      </c>
      <c r="B23" s="25" t="s">
        <v>37</v>
      </c>
      <c r="C23" s="26">
        <v>6081943</v>
      </c>
      <c r="D23" s="26">
        <v>0</v>
      </c>
      <c r="E23" s="27">
        <f t="shared" si="1"/>
        <v>6081943</v>
      </c>
      <c r="F23" s="26">
        <f>SUM(F24:F30)</f>
        <v>635801</v>
      </c>
      <c r="G23" s="26">
        <v>0</v>
      </c>
      <c r="H23" s="27">
        <f t="shared" si="2"/>
        <v>635801</v>
      </c>
      <c r="I23" s="27">
        <f t="shared" si="3"/>
        <v>6717744</v>
      </c>
      <c r="J23" s="27">
        <f t="shared" si="3"/>
        <v>0</v>
      </c>
      <c r="K23" s="27">
        <f t="shared" si="3"/>
        <v>6717744</v>
      </c>
    </row>
    <row r="24" spans="1:11" s="29" customFormat="1" ht="12.75" customHeight="1">
      <c r="A24" s="28" t="s">
        <v>38</v>
      </c>
      <c r="B24" s="29" t="s">
        <v>39</v>
      </c>
      <c r="C24" s="30">
        <v>113300</v>
      </c>
      <c r="D24" s="30">
        <v>0</v>
      </c>
      <c r="E24" s="31">
        <f t="shared" si="1"/>
        <v>113300</v>
      </c>
      <c r="F24" s="30">
        <f>78840+44685</f>
        <v>123525</v>
      </c>
      <c r="G24" s="30">
        <v>0</v>
      </c>
      <c r="H24" s="31">
        <f t="shared" si="2"/>
        <v>123525</v>
      </c>
      <c r="I24" s="31">
        <f t="shared" si="3"/>
        <v>236825</v>
      </c>
      <c r="J24" s="31">
        <f t="shared" si="3"/>
        <v>0</v>
      </c>
      <c r="K24" s="31">
        <f t="shared" si="3"/>
        <v>236825</v>
      </c>
    </row>
    <row r="25" spans="1:11" s="29" customFormat="1" ht="12.75" customHeight="1">
      <c r="A25" s="28" t="s">
        <v>40</v>
      </c>
      <c r="B25" s="29" t="s">
        <v>41</v>
      </c>
      <c r="C25" s="30">
        <v>20311</v>
      </c>
      <c r="D25" s="30">
        <v>0</v>
      </c>
      <c r="E25" s="31">
        <f t="shared" si="1"/>
        <v>20311</v>
      </c>
      <c r="F25" s="30">
        <f>13585+6793</f>
        <v>20378</v>
      </c>
      <c r="G25" s="30">
        <v>0</v>
      </c>
      <c r="H25" s="31">
        <f t="shared" si="2"/>
        <v>20378</v>
      </c>
      <c r="I25" s="31">
        <f t="shared" si="3"/>
        <v>40689</v>
      </c>
      <c r="J25" s="31">
        <f t="shared" si="3"/>
        <v>0</v>
      </c>
      <c r="K25" s="31">
        <f t="shared" si="3"/>
        <v>40689</v>
      </c>
    </row>
    <row r="26" spans="1:11" s="29" customFormat="1" ht="12.75" customHeight="1">
      <c r="A26" s="28" t="s">
        <v>42</v>
      </c>
      <c r="B26" s="29" t="s">
        <v>43</v>
      </c>
      <c r="C26" s="30">
        <v>2776</v>
      </c>
      <c r="D26" s="30">
        <v>0</v>
      </c>
      <c r="E26" s="31">
        <f t="shared" si="1"/>
        <v>2776</v>
      </c>
      <c r="F26" s="30">
        <f>1932+966</f>
        <v>2898</v>
      </c>
      <c r="G26" s="30">
        <v>0</v>
      </c>
      <c r="H26" s="31">
        <f t="shared" si="2"/>
        <v>2898</v>
      </c>
      <c r="I26" s="31">
        <f t="shared" si="3"/>
        <v>5674</v>
      </c>
      <c r="J26" s="31">
        <f t="shared" si="3"/>
        <v>0</v>
      </c>
      <c r="K26" s="31">
        <f t="shared" si="3"/>
        <v>5674</v>
      </c>
    </row>
    <row r="27" spans="1:11" s="29" customFormat="1" ht="12.75" customHeight="1">
      <c r="A27" s="28" t="s">
        <v>44</v>
      </c>
      <c r="B27" s="29" t="s">
        <v>45</v>
      </c>
      <c r="C27" s="30">
        <v>1500000</v>
      </c>
      <c r="D27" s="30">
        <v>0</v>
      </c>
      <c r="E27" s="31">
        <f t="shared" si="1"/>
        <v>1500000</v>
      </c>
      <c r="F27" s="30">
        <v>-700000</v>
      </c>
      <c r="G27" s="30">
        <v>0</v>
      </c>
      <c r="H27" s="31">
        <f t="shared" si="2"/>
        <v>-700000</v>
      </c>
      <c r="I27" s="31">
        <f t="shared" si="3"/>
        <v>800000</v>
      </c>
      <c r="J27" s="31">
        <f t="shared" si="3"/>
        <v>0</v>
      </c>
      <c r="K27" s="31">
        <f t="shared" si="3"/>
        <v>800000</v>
      </c>
    </row>
    <row r="28" spans="1:11" s="29" customFormat="1" ht="12.75" customHeight="1">
      <c r="A28" s="28" t="s">
        <v>46</v>
      </c>
      <c r="B28" s="29" t="s">
        <v>47</v>
      </c>
      <c r="C28" s="30">
        <v>525000</v>
      </c>
      <c r="D28" s="30">
        <v>0</v>
      </c>
      <c r="E28" s="31">
        <f t="shared" si="1"/>
        <v>525000</v>
      </c>
      <c r="F28" s="30">
        <v>-46000</v>
      </c>
      <c r="G28" s="30">
        <v>0</v>
      </c>
      <c r="H28" s="31">
        <f t="shared" si="2"/>
        <v>-46000</v>
      </c>
      <c r="I28" s="31">
        <f t="shared" si="3"/>
        <v>479000</v>
      </c>
      <c r="J28" s="31">
        <f t="shared" si="3"/>
        <v>0</v>
      </c>
      <c r="K28" s="31">
        <f t="shared" si="3"/>
        <v>479000</v>
      </c>
    </row>
    <row r="29" spans="1:11" ht="12.75" customHeight="1">
      <c r="A29" s="28" t="s">
        <v>48</v>
      </c>
      <c r="B29" s="29" t="s">
        <v>49</v>
      </c>
      <c r="C29" s="30">
        <v>2290000</v>
      </c>
      <c r="D29" s="30">
        <v>0</v>
      </c>
      <c r="E29" s="31">
        <f>SUM(C29:D29)</f>
        <v>2290000</v>
      </c>
      <c r="F29" s="30">
        <f>967000+115000-498000+51000</f>
        <v>635000</v>
      </c>
      <c r="G29" s="30">
        <v>0</v>
      </c>
      <c r="H29" s="31">
        <f>F29+G29</f>
        <v>635000</v>
      </c>
      <c r="I29" s="31">
        <f>C29+F29</f>
        <v>2925000</v>
      </c>
      <c r="J29" s="31">
        <f>D29+G29</f>
        <v>0</v>
      </c>
      <c r="K29" s="31">
        <f>E29+H29</f>
        <v>2925000</v>
      </c>
    </row>
    <row r="30" spans="1:11" ht="12.75" customHeight="1">
      <c r="A30" s="28" t="s">
        <v>50</v>
      </c>
      <c r="B30" s="29" t="s">
        <v>51</v>
      </c>
      <c r="C30" s="30">
        <v>1600000</v>
      </c>
      <c r="D30" s="30">
        <v>0</v>
      </c>
      <c r="E30" s="31">
        <f t="shared" si="1"/>
        <v>1600000</v>
      </c>
      <c r="F30" s="30">
        <v>600000</v>
      </c>
      <c r="G30" s="30">
        <v>0</v>
      </c>
      <c r="H30" s="31">
        <f t="shared" si="2"/>
        <v>600000</v>
      </c>
      <c r="I30" s="31">
        <f t="shared" si="3"/>
        <v>2200000</v>
      </c>
      <c r="J30" s="31">
        <f t="shared" si="3"/>
        <v>0</v>
      </c>
      <c r="K30" s="31">
        <f t="shared" si="3"/>
        <v>2200000</v>
      </c>
    </row>
    <row r="31" spans="1:11" ht="12.75" customHeight="1">
      <c r="A31" s="6" t="s">
        <v>52</v>
      </c>
      <c r="B31" s="16" t="s">
        <v>53</v>
      </c>
      <c r="C31" s="17">
        <v>10508439</v>
      </c>
      <c r="D31" s="17">
        <v>0</v>
      </c>
      <c r="E31" s="9">
        <f>SUM(C31:D31)</f>
        <v>10508439</v>
      </c>
      <c r="F31" s="17">
        <f>F34</f>
        <v>-1600000</v>
      </c>
      <c r="G31" s="17">
        <f>G34</f>
        <v>0</v>
      </c>
      <c r="H31" s="9">
        <f>F31+G31</f>
        <v>-1600000</v>
      </c>
      <c r="I31" s="9">
        <f>C31+F31</f>
        <v>8908439</v>
      </c>
      <c r="J31" s="9">
        <f>D31+G31</f>
        <v>0</v>
      </c>
      <c r="K31" s="9">
        <f>E31+H31</f>
        <v>8908439</v>
      </c>
    </row>
    <row r="32" spans="1:11" ht="12.75" customHeight="1">
      <c r="A32" s="18"/>
      <c r="B32" s="19" t="s">
        <v>54</v>
      </c>
      <c r="C32" s="20"/>
      <c r="D32" s="20"/>
      <c r="E32" s="11"/>
      <c r="F32" s="20"/>
      <c r="G32" s="20"/>
      <c r="H32" s="11"/>
      <c r="I32" s="11"/>
      <c r="J32" s="11"/>
      <c r="K32" s="11"/>
    </row>
    <row r="33" spans="1:11" ht="12.75" customHeight="1">
      <c r="A33" s="21"/>
      <c r="B33" s="22" t="s">
        <v>55</v>
      </c>
      <c r="C33" s="23">
        <v>7140439</v>
      </c>
      <c r="D33" s="23">
        <v>0</v>
      </c>
      <c r="E33" s="13">
        <f>SUM(C33:D33)</f>
        <v>7140439</v>
      </c>
      <c r="F33" s="23">
        <f>F35</f>
        <v>-1600000</v>
      </c>
      <c r="G33" s="23">
        <v>0</v>
      </c>
      <c r="H33" s="13">
        <f>F33+G33</f>
        <v>-1600000</v>
      </c>
      <c r="I33" s="13">
        <f aca="true" t="shared" si="5" ref="I33:K36">C33+F33</f>
        <v>5540439</v>
      </c>
      <c r="J33" s="13">
        <f t="shared" si="5"/>
        <v>0</v>
      </c>
      <c r="K33" s="13">
        <f t="shared" si="5"/>
        <v>5540439</v>
      </c>
    </row>
    <row r="34" spans="1:11" ht="12.75" customHeight="1">
      <c r="A34" s="24">
        <v>70095</v>
      </c>
      <c r="B34" s="25" t="s">
        <v>56</v>
      </c>
      <c r="C34" s="26">
        <v>6993439</v>
      </c>
      <c r="D34" s="26">
        <v>0</v>
      </c>
      <c r="E34" s="27">
        <f>SUM(C34:D34)</f>
        <v>6993439</v>
      </c>
      <c r="F34" s="26">
        <f>SUM(F35:F35)</f>
        <v>-1600000</v>
      </c>
      <c r="G34" s="26">
        <f>SUM(G35:G35)</f>
        <v>0</v>
      </c>
      <c r="H34" s="27">
        <f>F34+G34</f>
        <v>-1600000</v>
      </c>
      <c r="I34" s="27">
        <f t="shared" si="5"/>
        <v>5393439</v>
      </c>
      <c r="J34" s="27">
        <f t="shared" si="5"/>
        <v>0</v>
      </c>
      <c r="K34" s="27">
        <f t="shared" si="5"/>
        <v>5393439</v>
      </c>
    </row>
    <row r="35" spans="1:11" ht="12.75" customHeight="1">
      <c r="A35" s="28" t="s">
        <v>57</v>
      </c>
      <c r="B35" s="29" t="s">
        <v>58</v>
      </c>
      <c r="C35" s="30">
        <v>6740439</v>
      </c>
      <c r="D35" s="30">
        <v>0</v>
      </c>
      <c r="E35" s="31">
        <f>SUM(C35:D35)</f>
        <v>6740439</v>
      </c>
      <c r="F35" s="30">
        <f>243000-1843000</f>
        <v>-1600000</v>
      </c>
      <c r="G35" s="30">
        <v>0</v>
      </c>
      <c r="H35" s="31">
        <f>F35+G35</f>
        <v>-1600000</v>
      </c>
      <c r="I35" s="31">
        <f t="shared" si="5"/>
        <v>5140439</v>
      </c>
      <c r="J35" s="31">
        <f t="shared" si="5"/>
        <v>0</v>
      </c>
      <c r="K35" s="31">
        <f t="shared" si="5"/>
        <v>5140439</v>
      </c>
    </row>
    <row r="36" spans="1:11" ht="12.75" customHeight="1">
      <c r="A36" s="6" t="s">
        <v>59</v>
      </c>
      <c r="B36" s="16" t="s">
        <v>60</v>
      </c>
      <c r="C36" s="17">
        <v>276500</v>
      </c>
      <c r="D36" s="17">
        <v>25000</v>
      </c>
      <c r="E36" s="9">
        <f>SUM(C36:D36)</f>
        <v>301500</v>
      </c>
      <c r="F36" s="17">
        <f>F39+F41+F43</f>
        <v>529582</v>
      </c>
      <c r="G36" s="17">
        <f>G41</f>
        <v>30000</v>
      </c>
      <c r="H36" s="9">
        <f>F36+G36</f>
        <v>559582</v>
      </c>
      <c r="I36" s="9">
        <f t="shared" si="5"/>
        <v>806082</v>
      </c>
      <c r="J36" s="9">
        <f t="shared" si="5"/>
        <v>55000</v>
      </c>
      <c r="K36" s="9">
        <f t="shared" si="5"/>
        <v>861082</v>
      </c>
    </row>
    <row r="37" spans="1:11" ht="12.75" customHeight="1">
      <c r="A37" s="18"/>
      <c r="B37" s="19" t="s">
        <v>61</v>
      </c>
      <c r="C37" s="20"/>
      <c r="D37" s="20"/>
      <c r="E37" s="11"/>
      <c r="F37" s="20"/>
      <c r="G37" s="20"/>
      <c r="H37" s="11"/>
      <c r="I37" s="11"/>
      <c r="J37" s="11"/>
      <c r="K37" s="11"/>
    </row>
    <row r="38" spans="1:11" ht="12.75" customHeight="1">
      <c r="A38" s="21"/>
      <c r="B38" s="22" t="s">
        <v>62</v>
      </c>
      <c r="C38" s="23">
        <v>0</v>
      </c>
      <c r="D38" s="23">
        <v>0</v>
      </c>
      <c r="E38" s="13">
        <f aca="true" t="shared" si="6" ref="E38:E49">SUM(C38:D38)</f>
        <v>0</v>
      </c>
      <c r="F38" s="23">
        <f>F52</f>
        <v>120000</v>
      </c>
      <c r="G38" s="23">
        <v>0</v>
      </c>
      <c r="H38" s="13">
        <f aca="true" t="shared" si="7" ref="H38:H49">F38+G38</f>
        <v>120000</v>
      </c>
      <c r="I38" s="13">
        <f aca="true" t="shared" si="8" ref="I38:K53">C38+F38</f>
        <v>120000</v>
      </c>
      <c r="J38" s="13">
        <f t="shared" si="8"/>
        <v>0</v>
      </c>
      <c r="K38" s="13">
        <f t="shared" si="8"/>
        <v>120000</v>
      </c>
    </row>
    <row r="39" spans="1:11" ht="12.75" customHeight="1">
      <c r="A39" s="24">
        <v>71014</v>
      </c>
      <c r="B39" s="25" t="s">
        <v>63</v>
      </c>
      <c r="C39" s="26">
        <v>273500</v>
      </c>
      <c r="D39" s="26">
        <v>0</v>
      </c>
      <c r="E39" s="27">
        <f>SUM(C39:D39)</f>
        <v>273500</v>
      </c>
      <c r="F39" s="26">
        <f>SUM(F40:F40)</f>
        <v>-221484</v>
      </c>
      <c r="G39" s="26">
        <f>SUM(G40:G40)</f>
        <v>0</v>
      </c>
      <c r="H39" s="27">
        <f>F39+G39</f>
        <v>-221484</v>
      </c>
      <c r="I39" s="27">
        <f aca="true" t="shared" si="9" ref="I39:K40">C39+F39</f>
        <v>52016</v>
      </c>
      <c r="J39" s="27">
        <f t="shared" si="9"/>
        <v>0</v>
      </c>
      <c r="K39" s="27">
        <f t="shared" si="9"/>
        <v>52016</v>
      </c>
    </row>
    <row r="40" spans="1:11" ht="12.75" customHeight="1">
      <c r="A40" s="28" t="s">
        <v>64</v>
      </c>
      <c r="B40" s="29" t="s">
        <v>65</v>
      </c>
      <c r="C40" s="30">
        <v>273500</v>
      </c>
      <c r="D40" s="30">
        <v>0</v>
      </c>
      <c r="E40" s="31">
        <f>SUM(C40:D40)</f>
        <v>273500</v>
      </c>
      <c r="F40" s="30">
        <f>-220204-1280</f>
        <v>-221484</v>
      </c>
      <c r="G40" s="30">
        <v>0</v>
      </c>
      <c r="H40" s="31">
        <f>F40+G40</f>
        <v>-221484</v>
      </c>
      <c r="I40" s="31">
        <f t="shared" si="9"/>
        <v>52016</v>
      </c>
      <c r="J40" s="31">
        <f t="shared" si="9"/>
        <v>0</v>
      </c>
      <c r="K40" s="31">
        <f t="shared" si="9"/>
        <v>52016</v>
      </c>
    </row>
    <row r="41" spans="1:11" ht="12.75" customHeight="1">
      <c r="A41" s="24">
        <v>71035</v>
      </c>
      <c r="B41" s="25" t="s">
        <v>66</v>
      </c>
      <c r="C41" s="26">
        <v>3000</v>
      </c>
      <c r="D41" s="26">
        <v>25000</v>
      </c>
      <c r="E41" s="27">
        <f t="shared" si="6"/>
        <v>28000</v>
      </c>
      <c r="F41" s="26">
        <f>SUM(F42:F42)</f>
        <v>0</v>
      </c>
      <c r="G41" s="26">
        <f>SUM(G42:G42)</f>
        <v>30000</v>
      </c>
      <c r="H41" s="27">
        <f t="shared" si="7"/>
        <v>30000</v>
      </c>
      <c r="I41" s="27">
        <f t="shared" si="8"/>
        <v>3000</v>
      </c>
      <c r="J41" s="27">
        <f t="shared" si="8"/>
        <v>55000</v>
      </c>
      <c r="K41" s="27">
        <f t="shared" si="8"/>
        <v>58000</v>
      </c>
    </row>
    <row r="42" spans="1:11" ht="12.75" customHeight="1">
      <c r="A42" s="28" t="s">
        <v>67</v>
      </c>
      <c r="B42" s="29" t="s">
        <v>68</v>
      </c>
      <c r="C42" s="30">
        <v>3000</v>
      </c>
      <c r="D42" s="30">
        <v>25000</v>
      </c>
      <c r="E42" s="31">
        <f t="shared" si="6"/>
        <v>28000</v>
      </c>
      <c r="F42" s="30">
        <v>0</v>
      </c>
      <c r="G42" s="30">
        <v>30000</v>
      </c>
      <c r="H42" s="31">
        <f t="shared" si="7"/>
        <v>30000</v>
      </c>
      <c r="I42" s="31">
        <f t="shared" si="8"/>
        <v>3000</v>
      </c>
      <c r="J42" s="31">
        <f t="shared" si="8"/>
        <v>55000</v>
      </c>
      <c r="K42" s="31">
        <f t="shared" si="8"/>
        <v>58000</v>
      </c>
    </row>
    <row r="43" spans="1:11" s="25" customFormat="1" ht="12.75" customHeight="1">
      <c r="A43" s="24">
        <v>71095</v>
      </c>
      <c r="B43" s="25" t="s">
        <v>69</v>
      </c>
      <c r="C43" s="26">
        <v>0</v>
      </c>
      <c r="D43" s="26">
        <v>0</v>
      </c>
      <c r="E43" s="27">
        <f t="shared" si="6"/>
        <v>0</v>
      </c>
      <c r="F43" s="26">
        <f>SUM(F44:F52)</f>
        <v>751066</v>
      </c>
      <c r="G43" s="26">
        <v>0</v>
      </c>
      <c r="H43" s="27">
        <f t="shared" si="7"/>
        <v>751066</v>
      </c>
      <c r="I43" s="27">
        <f t="shared" si="8"/>
        <v>751066</v>
      </c>
      <c r="J43" s="27">
        <f t="shared" si="8"/>
        <v>0</v>
      </c>
      <c r="K43" s="27">
        <f t="shared" si="8"/>
        <v>751066</v>
      </c>
    </row>
    <row r="44" spans="1:11" s="29" customFormat="1" ht="12.75" customHeight="1">
      <c r="A44" s="28" t="s">
        <v>70</v>
      </c>
      <c r="B44" s="29" t="s">
        <v>71</v>
      </c>
      <c r="C44" s="30">
        <v>0</v>
      </c>
      <c r="D44" s="30">
        <v>0</v>
      </c>
      <c r="E44" s="31">
        <f t="shared" si="6"/>
        <v>0</v>
      </c>
      <c r="F44" s="30">
        <f>300500</f>
        <v>300500</v>
      </c>
      <c r="G44" s="30">
        <v>0</v>
      </c>
      <c r="H44" s="31">
        <f t="shared" si="7"/>
        <v>300500</v>
      </c>
      <c r="I44" s="31">
        <f t="shared" si="8"/>
        <v>300500</v>
      </c>
      <c r="J44" s="31">
        <f t="shared" si="8"/>
        <v>0</v>
      </c>
      <c r="K44" s="31">
        <f t="shared" si="8"/>
        <v>300500</v>
      </c>
    </row>
    <row r="45" spans="1:11" s="29" customFormat="1" ht="12.75" customHeight="1">
      <c r="A45" s="28" t="s">
        <v>72</v>
      </c>
      <c r="B45" s="29" t="s">
        <v>73</v>
      </c>
      <c r="C45" s="30">
        <v>0</v>
      </c>
      <c r="D45" s="30">
        <v>0</v>
      </c>
      <c r="E45" s="31">
        <f t="shared" si="6"/>
        <v>0</v>
      </c>
      <c r="F45" s="30">
        <f>51700</f>
        <v>51700</v>
      </c>
      <c r="G45" s="30">
        <v>0</v>
      </c>
      <c r="H45" s="31">
        <f t="shared" si="7"/>
        <v>51700</v>
      </c>
      <c r="I45" s="31">
        <f t="shared" si="8"/>
        <v>51700</v>
      </c>
      <c r="J45" s="31">
        <f t="shared" si="8"/>
        <v>0</v>
      </c>
      <c r="K45" s="31">
        <f t="shared" si="8"/>
        <v>51700</v>
      </c>
    </row>
    <row r="46" spans="1:11" s="29" customFormat="1" ht="12.75" customHeight="1">
      <c r="A46" s="28" t="s">
        <v>74</v>
      </c>
      <c r="B46" s="29" t="s">
        <v>75</v>
      </c>
      <c r="C46" s="30">
        <v>0</v>
      </c>
      <c r="D46" s="30">
        <v>0</v>
      </c>
      <c r="E46" s="31">
        <f t="shared" si="6"/>
        <v>0</v>
      </c>
      <c r="F46" s="30">
        <f>7382</f>
        <v>7382</v>
      </c>
      <c r="G46" s="30">
        <v>0</v>
      </c>
      <c r="H46" s="31">
        <f t="shared" si="7"/>
        <v>7382</v>
      </c>
      <c r="I46" s="31">
        <f t="shared" si="8"/>
        <v>7382</v>
      </c>
      <c r="J46" s="31">
        <f t="shared" si="8"/>
        <v>0</v>
      </c>
      <c r="K46" s="31">
        <f t="shared" si="8"/>
        <v>7382</v>
      </c>
    </row>
    <row r="47" spans="1:11" s="29" customFormat="1" ht="12.75" customHeight="1">
      <c r="A47" s="28" t="s">
        <v>76</v>
      </c>
      <c r="B47" s="29" t="s">
        <v>77</v>
      </c>
      <c r="C47" s="30">
        <v>0</v>
      </c>
      <c r="D47" s="30">
        <v>0</v>
      </c>
      <c r="E47" s="31">
        <f t="shared" si="6"/>
        <v>0</v>
      </c>
      <c r="F47" s="30">
        <v>7900</v>
      </c>
      <c r="G47" s="30">
        <v>0</v>
      </c>
      <c r="H47" s="31">
        <f t="shared" si="7"/>
        <v>7900</v>
      </c>
      <c r="I47" s="31">
        <f t="shared" si="8"/>
        <v>7900</v>
      </c>
      <c r="J47" s="31">
        <f t="shared" si="8"/>
        <v>0</v>
      </c>
      <c r="K47" s="31">
        <f t="shared" si="8"/>
        <v>7900</v>
      </c>
    </row>
    <row r="48" spans="1:11" s="29" customFormat="1" ht="12.75" customHeight="1">
      <c r="A48" s="28" t="s">
        <v>78</v>
      </c>
      <c r="B48" s="29" t="s">
        <v>79</v>
      </c>
      <c r="C48" s="30">
        <v>0</v>
      </c>
      <c r="D48" s="30">
        <v>0</v>
      </c>
      <c r="E48" s="31">
        <f t="shared" si="6"/>
        <v>0</v>
      </c>
      <c r="F48" s="30">
        <v>1000</v>
      </c>
      <c r="G48" s="30">
        <v>0</v>
      </c>
      <c r="H48" s="31">
        <f t="shared" si="7"/>
        <v>1000</v>
      </c>
      <c r="I48" s="31">
        <f t="shared" si="8"/>
        <v>1000</v>
      </c>
      <c r="J48" s="31">
        <f t="shared" si="8"/>
        <v>0</v>
      </c>
      <c r="K48" s="31">
        <f t="shared" si="8"/>
        <v>1000</v>
      </c>
    </row>
    <row r="49" spans="1:11" s="29" customFormat="1" ht="12.75" customHeight="1">
      <c r="A49" s="28" t="s">
        <v>80</v>
      </c>
      <c r="B49" s="29" t="s">
        <v>81</v>
      </c>
      <c r="C49" s="30">
        <v>0</v>
      </c>
      <c r="D49" s="30">
        <v>0</v>
      </c>
      <c r="E49" s="31">
        <f t="shared" si="6"/>
        <v>0</v>
      </c>
      <c r="F49" s="30">
        <f>32500+220204+1280</f>
        <v>253984</v>
      </c>
      <c r="G49" s="30">
        <v>0</v>
      </c>
      <c r="H49" s="31">
        <f t="shared" si="7"/>
        <v>253984</v>
      </c>
      <c r="I49" s="31">
        <f t="shared" si="8"/>
        <v>253984</v>
      </c>
      <c r="J49" s="31">
        <f t="shared" si="8"/>
        <v>0</v>
      </c>
      <c r="K49" s="31">
        <f t="shared" si="8"/>
        <v>253984</v>
      </c>
    </row>
    <row r="50" spans="1:11" s="29" customFormat="1" ht="12.75" customHeight="1">
      <c r="A50" s="28" t="s">
        <v>82</v>
      </c>
      <c r="B50" s="29" t="s">
        <v>83</v>
      </c>
      <c r="C50" s="30">
        <v>0</v>
      </c>
      <c r="D50" s="30">
        <v>0</v>
      </c>
      <c r="E50" s="31">
        <f t="shared" si="6"/>
        <v>0</v>
      </c>
      <c r="F50" s="30">
        <v>3100</v>
      </c>
      <c r="G50" s="30">
        <v>0</v>
      </c>
      <c r="H50" s="31">
        <f t="shared" si="7"/>
        <v>3100</v>
      </c>
      <c r="I50" s="31">
        <f t="shared" si="8"/>
        <v>3100</v>
      </c>
      <c r="J50" s="31">
        <f t="shared" si="8"/>
        <v>0</v>
      </c>
      <c r="K50" s="31">
        <f t="shared" si="8"/>
        <v>3100</v>
      </c>
    </row>
    <row r="51" spans="1:11" s="29" customFormat="1" ht="12.75" customHeight="1">
      <c r="A51" s="28" t="s">
        <v>84</v>
      </c>
      <c r="B51" s="29" t="s">
        <v>85</v>
      </c>
      <c r="C51" s="30">
        <v>0</v>
      </c>
      <c r="D51" s="30">
        <v>0</v>
      </c>
      <c r="E51" s="31">
        <f t="shared" si="6"/>
        <v>0</v>
      </c>
      <c r="F51" s="30">
        <v>5500</v>
      </c>
      <c r="G51" s="30">
        <v>0</v>
      </c>
      <c r="H51" s="31">
        <f t="shared" si="7"/>
        <v>5500</v>
      </c>
      <c r="I51" s="31">
        <f aca="true" t="shared" si="10" ref="I51:K52">C51+F51</f>
        <v>5500</v>
      </c>
      <c r="J51" s="31">
        <f t="shared" si="10"/>
        <v>0</v>
      </c>
      <c r="K51" s="31">
        <f t="shared" si="10"/>
        <v>5500</v>
      </c>
    </row>
    <row r="52" spans="1:11" s="1" customFormat="1" ht="12.75" customHeight="1">
      <c r="A52" s="28" t="s">
        <v>86</v>
      </c>
      <c r="B52" s="29" t="s">
        <v>87</v>
      </c>
      <c r="C52" s="30">
        <v>0</v>
      </c>
      <c r="D52" s="30">
        <v>0</v>
      </c>
      <c r="E52" s="31">
        <f>SUM(C52:D52)</f>
        <v>0</v>
      </c>
      <c r="F52" s="30">
        <v>120000</v>
      </c>
      <c r="G52" s="30">
        <v>0</v>
      </c>
      <c r="H52" s="31">
        <f>F52+G52</f>
        <v>120000</v>
      </c>
      <c r="I52" s="31">
        <f t="shared" si="10"/>
        <v>120000</v>
      </c>
      <c r="J52" s="31">
        <f t="shared" si="10"/>
        <v>0</v>
      </c>
      <c r="K52" s="31">
        <f t="shared" si="10"/>
        <v>120000</v>
      </c>
    </row>
    <row r="53" spans="1:11" ht="12.75" customHeight="1">
      <c r="A53" s="6" t="s">
        <v>88</v>
      </c>
      <c r="B53" s="16" t="s">
        <v>89</v>
      </c>
      <c r="C53" s="17">
        <v>17539850</v>
      </c>
      <c r="D53" s="17">
        <v>525340</v>
      </c>
      <c r="E53" s="9">
        <f>SUM(C53:D53)</f>
        <v>18065190</v>
      </c>
      <c r="F53" s="17">
        <f>F66+F56</f>
        <v>-481893</v>
      </c>
      <c r="G53" s="17">
        <f>G66</f>
        <v>0</v>
      </c>
      <c r="H53" s="9">
        <f>F53+G53</f>
        <v>-481893</v>
      </c>
      <c r="I53" s="9">
        <f t="shared" si="8"/>
        <v>17057957</v>
      </c>
      <c r="J53" s="9">
        <f t="shared" si="8"/>
        <v>525340</v>
      </c>
      <c r="K53" s="9">
        <f t="shared" si="8"/>
        <v>17583297</v>
      </c>
    </row>
    <row r="54" spans="1:11" ht="12.75" customHeight="1">
      <c r="A54" s="18"/>
      <c r="B54" s="19" t="s">
        <v>90</v>
      </c>
      <c r="C54" s="20"/>
      <c r="D54" s="20"/>
      <c r="E54" s="11"/>
      <c r="F54" s="20"/>
      <c r="G54" s="20"/>
      <c r="H54" s="11"/>
      <c r="I54" s="11"/>
      <c r="J54" s="11"/>
      <c r="K54" s="11"/>
    </row>
    <row r="55" spans="1:11" ht="12.75" customHeight="1">
      <c r="A55" s="21"/>
      <c r="B55" s="22" t="s">
        <v>91</v>
      </c>
      <c r="C55" s="23">
        <v>1510000</v>
      </c>
      <c r="D55" s="23">
        <v>100000</v>
      </c>
      <c r="E55" s="13">
        <f aca="true" t="shared" si="11" ref="E55:E63">SUM(C55:D55)</f>
        <v>1610000</v>
      </c>
      <c r="F55" s="23">
        <f>F65</f>
        <v>58000</v>
      </c>
      <c r="G55" s="23">
        <v>0</v>
      </c>
      <c r="H55" s="13">
        <f aca="true" t="shared" si="12" ref="H55:H63">F55+G55</f>
        <v>58000</v>
      </c>
      <c r="I55" s="13">
        <f>C55+F55</f>
        <v>1568000</v>
      </c>
      <c r="J55" s="13">
        <f>D55+G55</f>
        <v>100000</v>
      </c>
      <c r="K55" s="13">
        <f>E55+H55</f>
        <v>1668000</v>
      </c>
    </row>
    <row r="56" spans="1:11" s="25" customFormat="1" ht="12.75" customHeight="1">
      <c r="A56" s="24">
        <v>75023</v>
      </c>
      <c r="B56" s="25" t="s">
        <v>92</v>
      </c>
      <c r="C56" s="26">
        <v>15902268</v>
      </c>
      <c r="D56" s="26">
        <v>100000</v>
      </c>
      <c r="E56" s="27">
        <f t="shared" si="11"/>
        <v>16002268</v>
      </c>
      <c r="F56" s="26">
        <f>SUM(F57:F65)</f>
        <v>-72311</v>
      </c>
      <c r="G56" s="26">
        <v>0</v>
      </c>
      <c r="H56" s="27">
        <f t="shared" si="12"/>
        <v>-72311</v>
      </c>
      <c r="I56" s="27">
        <f aca="true" t="shared" si="13" ref="I56:K63">C56+F56</f>
        <v>15829957</v>
      </c>
      <c r="J56" s="27">
        <f t="shared" si="13"/>
        <v>100000</v>
      </c>
      <c r="K56" s="27">
        <f t="shared" si="13"/>
        <v>15929957</v>
      </c>
    </row>
    <row r="57" spans="1:11" s="29" customFormat="1" ht="12.75" customHeight="1">
      <c r="A57" s="28" t="s">
        <v>93</v>
      </c>
      <c r="B57" s="29" t="s">
        <v>94</v>
      </c>
      <c r="C57" s="30">
        <v>8298758</v>
      </c>
      <c r="D57" s="30">
        <v>0</v>
      </c>
      <c r="E57" s="31">
        <f t="shared" si="11"/>
        <v>8298758</v>
      </c>
      <c r="F57" s="30">
        <v>-44685</v>
      </c>
      <c r="G57" s="30">
        <v>0</v>
      </c>
      <c r="H57" s="31">
        <f t="shared" si="12"/>
        <v>-44685</v>
      </c>
      <c r="I57" s="31">
        <f t="shared" si="13"/>
        <v>8254073</v>
      </c>
      <c r="J57" s="31">
        <f t="shared" si="13"/>
        <v>0</v>
      </c>
      <c r="K57" s="31">
        <f t="shared" si="13"/>
        <v>8254073</v>
      </c>
    </row>
    <row r="58" spans="1:11" s="29" customFormat="1" ht="12.75" customHeight="1">
      <c r="A58" s="28" t="s">
        <v>95</v>
      </c>
      <c r="B58" s="29" t="s">
        <v>96</v>
      </c>
      <c r="C58" s="30">
        <v>1455188</v>
      </c>
      <c r="D58" s="30">
        <v>0</v>
      </c>
      <c r="E58" s="31">
        <f t="shared" si="11"/>
        <v>1455188</v>
      </c>
      <c r="F58" s="30">
        <v>-6793</v>
      </c>
      <c r="G58" s="30">
        <v>0</v>
      </c>
      <c r="H58" s="31">
        <f t="shared" si="12"/>
        <v>-6793</v>
      </c>
      <c r="I58" s="31">
        <f t="shared" si="13"/>
        <v>1448395</v>
      </c>
      <c r="J58" s="31">
        <f t="shared" si="13"/>
        <v>0</v>
      </c>
      <c r="K58" s="31">
        <f t="shared" si="13"/>
        <v>1448395</v>
      </c>
    </row>
    <row r="59" spans="1:11" s="29" customFormat="1" ht="12.75" customHeight="1">
      <c r="A59" s="28" t="s">
        <v>97</v>
      </c>
      <c r="B59" s="29" t="s">
        <v>98</v>
      </c>
      <c r="C59" s="30">
        <v>221137</v>
      </c>
      <c r="D59" s="30">
        <v>0</v>
      </c>
      <c r="E59" s="31">
        <f t="shared" si="11"/>
        <v>221137</v>
      </c>
      <c r="F59" s="30">
        <v>-966</v>
      </c>
      <c r="G59" s="30">
        <v>0</v>
      </c>
      <c r="H59" s="31">
        <f t="shared" si="12"/>
        <v>-966</v>
      </c>
      <c r="I59" s="31">
        <f t="shared" si="13"/>
        <v>220171</v>
      </c>
      <c r="J59" s="31">
        <f t="shared" si="13"/>
        <v>0</v>
      </c>
      <c r="K59" s="31">
        <f t="shared" si="13"/>
        <v>220171</v>
      </c>
    </row>
    <row r="60" spans="1:11" s="29" customFormat="1" ht="12.75" customHeight="1">
      <c r="A60" s="28" t="s">
        <v>99</v>
      </c>
      <c r="B60" s="29" t="s">
        <v>100</v>
      </c>
      <c r="C60" s="30">
        <v>647000</v>
      </c>
      <c r="D60" s="30">
        <v>0</v>
      </c>
      <c r="E60" s="31">
        <f t="shared" si="11"/>
        <v>647000</v>
      </c>
      <c r="F60" s="30">
        <v>-20000</v>
      </c>
      <c r="G60" s="30">
        <v>0</v>
      </c>
      <c r="H60" s="31">
        <f t="shared" si="12"/>
        <v>-20000</v>
      </c>
      <c r="I60" s="31">
        <f t="shared" si="13"/>
        <v>627000</v>
      </c>
      <c r="J60" s="31">
        <f t="shared" si="13"/>
        <v>0</v>
      </c>
      <c r="K60" s="31">
        <f t="shared" si="13"/>
        <v>627000</v>
      </c>
    </row>
    <row r="61" spans="1:11" s="29" customFormat="1" ht="12.75" customHeight="1">
      <c r="A61" s="28" t="s">
        <v>101</v>
      </c>
      <c r="B61" s="29" t="s">
        <v>102</v>
      </c>
      <c r="C61" s="30">
        <v>145000</v>
      </c>
      <c r="D61" s="30">
        <v>0</v>
      </c>
      <c r="E61" s="31">
        <f t="shared" si="11"/>
        <v>145000</v>
      </c>
      <c r="F61" s="30">
        <v>-25000</v>
      </c>
      <c r="G61" s="30">
        <v>0</v>
      </c>
      <c r="H61" s="31">
        <f t="shared" si="12"/>
        <v>-25000</v>
      </c>
      <c r="I61" s="31">
        <f t="shared" si="13"/>
        <v>120000</v>
      </c>
      <c r="J61" s="31">
        <f t="shared" si="13"/>
        <v>0</v>
      </c>
      <c r="K61" s="31">
        <f t="shared" si="13"/>
        <v>120000</v>
      </c>
    </row>
    <row r="62" spans="1:11" s="29" customFormat="1" ht="12.75" customHeight="1">
      <c r="A62" s="28" t="s">
        <v>103</v>
      </c>
      <c r="B62" s="29" t="s">
        <v>104</v>
      </c>
      <c r="C62" s="30">
        <v>1765705</v>
      </c>
      <c r="D62" s="30">
        <v>0</v>
      </c>
      <c r="E62" s="31">
        <f t="shared" si="11"/>
        <v>1765705</v>
      </c>
      <c r="F62" s="30">
        <f>-13000+30000</f>
        <v>17000</v>
      </c>
      <c r="G62" s="30">
        <v>0</v>
      </c>
      <c r="H62" s="31">
        <f t="shared" si="12"/>
        <v>17000</v>
      </c>
      <c r="I62" s="31">
        <f t="shared" si="13"/>
        <v>1782705</v>
      </c>
      <c r="J62" s="31">
        <f t="shared" si="13"/>
        <v>0</v>
      </c>
      <c r="K62" s="31">
        <f t="shared" si="13"/>
        <v>1782705</v>
      </c>
    </row>
    <row r="63" spans="1:11" s="29" customFormat="1" ht="12.75" customHeight="1">
      <c r="A63" s="28" t="s">
        <v>105</v>
      </c>
      <c r="B63" s="29" t="s">
        <v>106</v>
      </c>
      <c r="C63" s="30">
        <v>100000</v>
      </c>
      <c r="D63" s="30">
        <v>0</v>
      </c>
      <c r="E63" s="31">
        <f>SUM(C63:D63)</f>
        <v>100000</v>
      </c>
      <c r="F63" s="30">
        <v>-30000</v>
      </c>
      <c r="G63" s="30">
        <v>0</v>
      </c>
      <c r="H63" s="31">
        <f>F63+G63</f>
        <v>-30000</v>
      </c>
      <c r="I63" s="31">
        <f t="shared" si="13"/>
        <v>70000</v>
      </c>
      <c r="J63" s="31">
        <f t="shared" si="13"/>
        <v>0</v>
      </c>
      <c r="K63" s="31">
        <f t="shared" si="13"/>
        <v>70000</v>
      </c>
    </row>
    <row r="64" spans="1:11" s="29" customFormat="1" ht="12.75" customHeight="1">
      <c r="A64" s="28" t="s">
        <v>107</v>
      </c>
      <c r="B64" s="29" t="s">
        <v>108</v>
      </c>
      <c r="C64" s="30">
        <v>438304</v>
      </c>
      <c r="D64" s="30">
        <v>0</v>
      </c>
      <c r="E64" s="31">
        <f>SUM(C64:D64)</f>
        <v>438304</v>
      </c>
      <c r="F64" s="30">
        <v>-19867</v>
      </c>
      <c r="G64" s="30">
        <v>0</v>
      </c>
      <c r="H64" s="31">
        <f>F64+G64</f>
        <v>-19867</v>
      </c>
      <c r="I64" s="31">
        <f aca="true" t="shared" si="14" ref="I64:K65">C64+F64</f>
        <v>418437</v>
      </c>
      <c r="J64" s="31">
        <f t="shared" si="14"/>
        <v>0</v>
      </c>
      <c r="K64" s="31">
        <f t="shared" si="14"/>
        <v>418437</v>
      </c>
    </row>
    <row r="65" spans="1:11" s="29" customFormat="1" ht="12.75" customHeight="1">
      <c r="A65" s="28" t="s">
        <v>109</v>
      </c>
      <c r="B65" s="29" t="s">
        <v>110</v>
      </c>
      <c r="C65" s="30">
        <v>650000</v>
      </c>
      <c r="D65" s="30">
        <v>100000</v>
      </c>
      <c r="E65" s="31">
        <f t="shared" si="11"/>
        <v>750000</v>
      </c>
      <c r="F65" s="30">
        <v>58000</v>
      </c>
      <c r="G65" s="30">
        <v>0</v>
      </c>
      <c r="H65" s="31">
        <f t="shared" si="12"/>
        <v>58000</v>
      </c>
      <c r="I65" s="31">
        <f t="shared" si="14"/>
        <v>708000</v>
      </c>
      <c r="J65" s="31">
        <f t="shared" si="14"/>
        <v>100000</v>
      </c>
      <c r="K65" s="31">
        <f t="shared" si="14"/>
        <v>808000</v>
      </c>
    </row>
    <row r="66" spans="1:11" s="25" customFormat="1" ht="12.75" customHeight="1">
      <c r="A66" s="24">
        <v>75095</v>
      </c>
      <c r="B66" s="25" t="s">
        <v>111</v>
      </c>
      <c r="C66" s="26">
        <v>1155582</v>
      </c>
      <c r="D66" s="26">
        <v>0</v>
      </c>
      <c r="E66" s="27">
        <f aca="true" t="shared" si="15" ref="E66:E71">SUM(C66:D66)</f>
        <v>1155582</v>
      </c>
      <c r="F66" s="26">
        <f>SUM(F67:F74)</f>
        <v>-409582</v>
      </c>
      <c r="G66" s="26">
        <v>0</v>
      </c>
      <c r="H66" s="27">
        <f aca="true" t="shared" si="16" ref="H66:H71">F66+G66</f>
        <v>-409582</v>
      </c>
      <c r="I66" s="27">
        <f aca="true" t="shared" si="17" ref="I66:K73">C66+F66</f>
        <v>746000</v>
      </c>
      <c r="J66" s="27">
        <f t="shared" si="17"/>
        <v>0</v>
      </c>
      <c r="K66" s="27">
        <f t="shared" si="17"/>
        <v>746000</v>
      </c>
    </row>
    <row r="67" spans="1:11" s="29" customFormat="1" ht="12.75" customHeight="1">
      <c r="A67" s="28" t="s">
        <v>112</v>
      </c>
      <c r="B67" s="29" t="s">
        <v>113</v>
      </c>
      <c r="C67" s="30">
        <v>300500</v>
      </c>
      <c r="D67" s="30">
        <v>0</v>
      </c>
      <c r="E67" s="31">
        <f t="shared" si="15"/>
        <v>300500</v>
      </c>
      <c r="F67" s="30">
        <f>-162500-138000</f>
        <v>-300500</v>
      </c>
      <c r="G67" s="30">
        <v>0</v>
      </c>
      <c r="H67" s="31">
        <f t="shared" si="16"/>
        <v>-300500</v>
      </c>
      <c r="I67" s="31">
        <f t="shared" si="17"/>
        <v>0</v>
      </c>
      <c r="J67" s="31">
        <f t="shared" si="17"/>
        <v>0</v>
      </c>
      <c r="K67" s="31">
        <f t="shared" si="17"/>
        <v>0</v>
      </c>
    </row>
    <row r="68" spans="1:11" s="29" customFormat="1" ht="12.75" customHeight="1">
      <c r="A68" s="28" t="s">
        <v>114</v>
      </c>
      <c r="B68" s="29" t="s">
        <v>115</v>
      </c>
      <c r="C68" s="30">
        <v>56995</v>
      </c>
      <c r="D68" s="30">
        <v>0</v>
      </c>
      <c r="E68" s="31">
        <f t="shared" si="15"/>
        <v>56995</v>
      </c>
      <c r="F68" s="30">
        <f>-28000-23700</f>
        <v>-51700</v>
      </c>
      <c r="G68" s="30">
        <v>0</v>
      </c>
      <c r="H68" s="31">
        <f t="shared" si="16"/>
        <v>-51700</v>
      </c>
      <c r="I68" s="31">
        <f t="shared" si="17"/>
        <v>5295</v>
      </c>
      <c r="J68" s="31">
        <f t="shared" si="17"/>
        <v>0</v>
      </c>
      <c r="K68" s="31">
        <f t="shared" si="17"/>
        <v>5295</v>
      </c>
    </row>
    <row r="69" spans="1:11" s="29" customFormat="1" ht="12.75" customHeight="1">
      <c r="A69" s="28" t="s">
        <v>116</v>
      </c>
      <c r="B69" s="29" t="s">
        <v>117</v>
      </c>
      <c r="C69" s="30">
        <v>7382</v>
      </c>
      <c r="D69" s="30">
        <v>0</v>
      </c>
      <c r="E69" s="31">
        <f t="shared" si="15"/>
        <v>7382</v>
      </c>
      <c r="F69" s="30">
        <f>-3982-3400</f>
        <v>-7382</v>
      </c>
      <c r="G69" s="30">
        <v>0</v>
      </c>
      <c r="H69" s="31">
        <f t="shared" si="16"/>
        <v>-7382</v>
      </c>
      <c r="I69" s="31">
        <f t="shared" si="17"/>
        <v>0</v>
      </c>
      <c r="J69" s="31">
        <f t="shared" si="17"/>
        <v>0</v>
      </c>
      <c r="K69" s="31">
        <f t="shared" si="17"/>
        <v>0</v>
      </c>
    </row>
    <row r="70" spans="1:11" s="29" customFormat="1" ht="12.75" customHeight="1">
      <c r="A70" s="28" t="s">
        <v>118</v>
      </c>
      <c r="B70" s="29" t="s">
        <v>119</v>
      </c>
      <c r="C70" s="30">
        <v>82900</v>
      </c>
      <c r="D70" s="30">
        <v>0</v>
      </c>
      <c r="E70" s="31">
        <f>SUM(C70:D70)</f>
        <v>82900</v>
      </c>
      <c r="F70" s="30">
        <v>-7900</v>
      </c>
      <c r="G70" s="30">
        <v>0</v>
      </c>
      <c r="H70" s="31">
        <f>F70+G70</f>
        <v>-7900</v>
      </c>
      <c r="I70" s="31">
        <f t="shared" si="17"/>
        <v>75000</v>
      </c>
      <c r="J70" s="31">
        <f t="shared" si="17"/>
        <v>0</v>
      </c>
      <c r="K70" s="31">
        <f t="shared" si="17"/>
        <v>75000</v>
      </c>
    </row>
    <row r="71" spans="1:11" s="29" customFormat="1" ht="12.75" customHeight="1">
      <c r="A71" s="28" t="s">
        <v>120</v>
      </c>
      <c r="B71" s="29" t="s">
        <v>121</v>
      </c>
      <c r="C71" s="30">
        <v>1000</v>
      </c>
      <c r="D71" s="30">
        <v>0</v>
      </c>
      <c r="E71" s="31">
        <f>SUM(C71:D71)</f>
        <v>1000</v>
      </c>
      <c r="F71" s="30">
        <v>-1000</v>
      </c>
      <c r="G71" s="30">
        <v>0</v>
      </c>
      <c r="H71" s="31">
        <f>F71+G71</f>
        <v>-1000</v>
      </c>
      <c r="I71" s="31">
        <f t="shared" si="17"/>
        <v>0</v>
      </c>
      <c r="J71" s="31">
        <f t="shared" si="17"/>
        <v>0</v>
      </c>
      <c r="K71" s="31">
        <f t="shared" si="17"/>
        <v>0</v>
      </c>
    </row>
    <row r="72" spans="1:11" s="29" customFormat="1" ht="12.75" customHeight="1">
      <c r="A72" s="28" t="s">
        <v>122</v>
      </c>
      <c r="B72" s="29" t="s">
        <v>123</v>
      </c>
      <c r="C72" s="30">
        <v>641500</v>
      </c>
      <c r="D72" s="30">
        <v>0</v>
      </c>
      <c r="E72" s="31">
        <f t="shared" si="15"/>
        <v>641500</v>
      </c>
      <c r="F72" s="30">
        <v>-32500</v>
      </c>
      <c r="G72" s="30">
        <v>0</v>
      </c>
      <c r="H72" s="31">
        <f t="shared" si="16"/>
        <v>-32500</v>
      </c>
      <c r="I72" s="31">
        <f t="shared" si="17"/>
        <v>609000</v>
      </c>
      <c r="J72" s="31">
        <f t="shared" si="17"/>
        <v>0</v>
      </c>
      <c r="K72" s="31">
        <f t="shared" si="17"/>
        <v>609000</v>
      </c>
    </row>
    <row r="73" spans="1:11" s="29" customFormat="1" ht="12.75" customHeight="1">
      <c r="A73" s="28" t="s">
        <v>124</v>
      </c>
      <c r="B73" s="29" t="s">
        <v>125</v>
      </c>
      <c r="C73" s="30">
        <v>5100</v>
      </c>
      <c r="D73" s="30">
        <v>0</v>
      </c>
      <c r="E73" s="31">
        <f t="shared" si="15"/>
        <v>5100</v>
      </c>
      <c r="F73" s="30">
        <v>-3100</v>
      </c>
      <c r="G73" s="30">
        <v>0</v>
      </c>
      <c r="H73" s="31">
        <f t="shared" si="16"/>
        <v>-3100</v>
      </c>
      <c r="I73" s="31">
        <f t="shared" si="17"/>
        <v>2000</v>
      </c>
      <c r="J73" s="31">
        <f t="shared" si="17"/>
        <v>0</v>
      </c>
      <c r="K73" s="31">
        <f t="shared" si="17"/>
        <v>2000</v>
      </c>
    </row>
    <row r="74" spans="1:11" s="29" customFormat="1" ht="12.75" customHeight="1">
      <c r="A74" s="28" t="s">
        <v>126</v>
      </c>
      <c r="B74" s="29" t="s">
        <v>127</v>
      </c>
      <c r="C74" s="30">
        <v>5500</v>
      </c>
      <c r="D74" s="30">
        <v>0</v>
      </c>
      <c r="E74" s="31">
        <f>SUM(C74:D74)</f>
        <v>5500</v>
      </c>
      <c r="F74" s="30">
        <v>-5500</v>
      </c>
      <c r="G74" s="30">
        <v>0</v>
      </c>
      <c r="H74" s="31">
        <f>F74+G74</f>
        <v>-5500</v>
      </c>
      <c r="I74" s="31">
        <f aca="true" t="shared" si="18" ref="I74:K75">C74+F74</f>
        <v>0</v>
      </c>
      <c r="J74" s="31">
        <f t="shared" si="18"/>
        <v>0</v>
      </c>
      <c r="K74" s="31">
        <f t="shared" si="18"/>
        <v>0</v>
      </c>
    </row>
    <row r="75" spans="1:11" ht="12.75" customHeight="1">
      <c r="A75" s="6" t="s">
        <v>128</v>
      </c>
      <c r="B75" s="16" t="s">
        <v>129</v>
      </c>
      <c r="C75" s="17">
        <v>15000</v>
      </c>
      <c r="D75" s="17">
        <v>108338</v>
      </c>
      <c r="E75" s="9">
        <f>SUM(C75:D75)</f>
        <v>123338</v>
      </c>
      <c r="F75" s="17">
        <f>F78</f>
        <v>-15000</v>
      </c>
      <c r="G75" s="17">
        <f>G78</f>
        <v>0</v>
      </c>
      <c r="H75" s="9">
        <f>F75+G75</f>
        <v>-15000</v>
      </c>
      <c r="I75" s="9">
        <f t="shared" si="18"/>
        <v>0</v>
      </c>
      <c r="J75" s="9">
        <f t="shared" si="18"/>
        <v>108338</v>
      </c>
      <c r="K75" s="9">
        <f t="shared" si="18"/>
        <v>108338</v>
      </c>
    </row>
    <row r="76" spans="1:11" ht="12.75" customHeight="1">
      <c r="A76" s="18"/>
      <c r="B76" s="19" t="s">
        <v>130</v>
      </c>
      <c r="C76" s="20"/>
      <c r="D76" s="20"/>
      <c r="E76" s="11"/>
      <c r="F76" s="20"/>
      <c r="G76" s="20"/>
      <c r="H76" s="11"/>
      <c r="I76" s="11"/>
      <c r="J76" s="11"/>
      <c r="K76" s="11"/>
    </row>
    <row r="77" spans="1:11" ht="12.75" customHeight="1">
      <c r="A77" s="21"/>
      <c r="B77" s="22" t="s">
        <v>131</v>
      </c>
      <c r="C77" s="23">
        <v>0</v>
      </c>
      <c r="D77" s="23">
        <v>0</v>
      </c>
      <c r="E77" s="13">
        <f aca="true" t="shared" si="19" ref="E77:E82">SUM(C77:D77)</f>
        <v>0</v>
      </c>
      <c r="F77" s="23">
        <v>0</v>
      </c>
      <c r="G77" s="23">
        <v>0</v>
      </c>
      <c r="H77" s="13">
        <f aca="true" t="shared" si="20" ref="H77:H82">F77+G77</f>
        <v>0</v>
      </c>
      <c r="I77" s="13">
        <f aca="true" t="shared" si="21" ref="I77:K82">C77+F77</f>
        <v>0</v>
      </c>
      <c r="J77" s="13">
        <f t="shared" si="21"/>
        <v>0</v>
      </c>
      <c r="K77" s="13">
        <f t="shared" si="21"/>
        <v>0</v>
      </c>
    </row>
    <row r="78" spans="1:11" ht="12.75" customHeight="1">
      <c r="A78" s="24">
        <v>75113</v>
      </c>
      <c r="B78" s="25" t="s">
        <v>132</v>
      </c>
      <c r="C78" s="26">
        <v>15000</v>
      </c>
      <c r="D78" s="26">
        <v>95188</v>
      </c>
      <c r="E78" s="27">
        <f t="shared" si="19"/>
        <v>110188</v>
      </c>
      <c r="F78" s="26">
        <f>SUM(F79:F81)</f>
        <v>-15000</v>
      </c>
      <c r="G78" s="26">
        <f>SUM(G82:G82)</f>
        <v>0</v>
      </c>
      <c r="H78" s="27">
        <f t="shared" si="20"/>
        <v>-15000</v>
      </c>
      <c r="I78" s="27">
        <f t="shared" si="21"/>
        <v>0</v>
      </c>
      <c r="J78" s="27">
        <f t="shared" si="21"/>
        <v>95188</v>
      </c>
      <c r="K78" s="27">
        <f t="shared" si="21"/>
        <v>95188</v>
      </c>
    </row>
    <row r="79" spans="1:11" s="29" customFormat="1" ht="12.75" customHeight="1">
      <c r="A79" s="28" t="s">
        <v>133</v>
      </c>
      <c r="B79" s="29" t="s">
        <v>134</v>
      </c>
      <c r="C79" s="30">
        <v>5000</v>
      </c>
      <c r="D79" s="30">
        <v>60060</v>
      </c>
      <c r="E79" s="31">
        <f t="shared" si="19"/>
        <v>65060</v>
      </c>
      <c r="F79" s="30">
        <v>-5000</v>
      </c>
      <c r="G79" s="30">
        <v>0</v>
      </c>
      <c r="H79" s="31">
        <f t="shared" si="20"/>
        <v>-5000</v>
      </c>
      <c r="I79" s="31">
        <f t="shared" si="21"/>
        <v>0</v>
      </c>
      <c r="J79" s="31">
        <f t="shared" si="21"/>
        <v>60060</v>
      </c>
      <c r="K79" s="31">
        <f t="shared" si="21"/>
        <v>60060</v>
      </c>
    </row>
    <row r="80" spans="1:11" s="29" customFormat="1" ht="12.75" customHeight="1">
      <c r="A80" s="28" t="s">
        <v>135</v>
      </c>
      <c r="B80" s="29" t="s">
        <v>136</v>
      </c>
      <c r="C80" s="30">
        <v>5000</v>
      </c>
      <c r="D80" s="30">
        <v>6874</v>
      </c>
      <c r="E80" s="31">
        <f t="shared" si="19"/>
        <v>11874</v>
      </c>
      <c r="F80" s="30">
        <v>-5000</v>
      </c>
      <c r="G80" s="30">
        <v>0</v>
      </c>
      <c r="H80" s="31">
        <f t="shared" si="20"/>
        <v>-5000</v>
      </c>
      <c r="I80" s="31">
        <f t="shared" si="21"/>
        <v>0</v>
      </c>
      <c r="J80" s="31">
        <f t="shared" si="21"/>
        <v>6874</v>
      </c>
      <c r="K80" s="31">
        <f t="shared" si="21"/>
        <v>6874</v>
      </c>
    </row>
    <row r="81" spans="1:11" s="29" customFormat="1" ht="12.75" customHeight="1">
      <c r="A81" s="28" t="s">
        <v>137</v>
      </c>
      <c r="B81" s="29" t="s">
        <v>138</v>
      </c>
      <c r="C81" s="30">
        <v>5000</v>
      </c>
      <c r="D81" s="30">
        <v>23866</v>
      </c>
      <c r="E81" s="31">
        <f t="shared" si="19"/>
        <v>28866</v>
      </c>
      <c r="F81" s="30">
        <v>-5000</v>
      </c>
      <c r="G81" s="30">
        <v>0</v>
      </c>
      <c r="H81" s="31">
        <f t="shared" si="20"/>
        <v>-5000</v>
      </c>
      <c r="I81" s="31">
        <f t="shared" si="21"/>
        <v>0</v>
      </c>
      <c r="J81" s="31">
        <f t="shared" si="21"/>
        <v>23866</v>
      </c>
      <c r="K81" s="31">
        <f t="shared" si="21"/>
        <v>23866</v>
      </c>
    </row>
    <row r="82" spans="1:11" ht="12.75" customHeight="1">
      <c r="A82" s="6" t="s">
        <v>139</v>
      </c>
      <c r="B82" s="16" t="s">
        <v>140</v>
      </c>
      <c r="C82" s="17">
        <v>1524730</v>
      </c>
      <c r="D82" s="17">
        <v>1270</v>
      </c>
      <c r="E82" s="9">
        <f t="shared" si="19"/>
        <v>1526000</v>
      </c>
      <c r="F82" s="17">
        <f>F85</f>
        <v>219600</v>
      </c>
      <c r="G82" s="17">
        <f>G85</f>
        <v>0</v>
      </c>
      <c r="H82" s="9">
        <f t="shared" si="20"/>
        <v>219600</v>
      </c>
      <c r="I82" s="9">
        <f t="shared" si="21"/>
        <v>1744330</v>
      </c>
      <c r="J82" s="9">
        <f t="shared" si="21"/>
        <v>1270</v>
      </c>
      <c r="K82" s="9">
        <f t="shared" si="21"/>
        <v>1745600</v>
      </c>
    </row>
    <row r="83" spans="1:11" ht="12.75" customHeight="1">
      <c r="A83" s="18"/>
      <c r="B83" s="19" t="s">
        <v>141</v>
      </c>
      <c r="C83" s="20"/>
      <c r="D83" s="20"/>
      <c r="E83" s="11"/>
      <c r="F83" s="20"/>
      <c r="G83" s="20"/>
      <c r="H83" s="11"/>
      <c r="I83" s="11"/>
      <c r="J83" s="11"/>
      <c r="K83" s="11"/>
    </row>
    <row r="84" spans="1:11" ht="12.75" customHeight="1">
      <c r="A84" s="21"/>
      <c r="B84" s="22" t="s">
        <v>142</v>
      </c>
      <c r="C84" s="23">
        <v>0</v>
      </c>
      <c r="D84" s="23">
        <v>0</v>
      </c>
      <c r="E84" s="13">
        <f>SUM(C84:D84)</f>
        <v>0</v>
      </c>
      <c r="F84" s="23">
        <f>F86</f>
        <v>219600</v>
      </c>
      <c r="G84" s="23">
        <v>0</v>
      </c>
      <c r="H84" s="13">
        <f>F84+G84</f>
        <v>219600</v>
      </c>
      <c r="I84" s="13">
        <f aca="true" t="shared" si="22" ref="I84:K87">C84+F84</f>
        <v>219600</v>
      </c>
      <c r="J84" s="13">
        <f t="shared" si="22"/>
        <v>0</v>
      </c>
      <c r="K84" s="13">
        <f t="shared" si="22"/>
        <v>219600</v>
      </c>
    </row>
    <row r="85" spans="1:11" ht="12.75" customHeight="1">
      <c r="A85" s="24">
        <v>75416</v>
      </c>
      <c r="B85" s="25" t="s">
        <v>143</v>
      </c>
      <c r="C85" s="26">
        <v>1120000</v>
      </c>
      <c r="D85" s="26">
        <v>0</v>
      </c>
      <c r="E85" s="27">
        <f>SUM(C85:D85)</f>
        <v>1120000</v>
      </c>
      <c r="F85" s="26">
        <f>SUM(F86:F86)</f>
        <v>219600</v>
      </c>
      <c r="G85" s="26">
        <f>SUM(G87:G87)</f>
        <v>0</v>
      </c>
      <c r="H85" s="27">
        <f>F85+G85</f>
        <v>219600</v>
      </c>
      <c r="I85" s="27">
        <f t="shared" si="22"/>
        <v>1339600</v>
      </c>
      <c r="J85" s="27">
        <f t="shared" si="22"/>
        <v>0</v>
      </c>
      <c r="K85" s="27">
        <f t="shared" si="22"/>
        <v>1339600</v>
      </c>
    </row>
    <row r="86" spans="1:11" ht="12.75" customHeight="1">
      <c r="A86" s="28" t="s">
        <v>144</v>
      </c>
      <c r="B86" s="29" t="s">
        <v>145</v>
      </c>
      <c r="C86" s="30">
        <v>0</v>
      </c>
      <c r="D86" s="30">
        <v>0</v>
      </c>
      <c r="E86" s="31">
        <f>SUM(C86:D86)</f>
        <v>0</v>
      </c>
      <c r="F86" s="30">
        <v>219600</v>
      </c>
      <c r="G86" s="30">
        <v>0</v>
      </c>
      <c r="H86" s="31">
        <f>F86+G86</f>
        <v>219600</v>
      </c>
      <c r="I86" s="31">
        <f t="shared" si="22"/>
        <v>219600</v>
      </c>
      <c r="J86" s="31">
        <f t="shared" si="22"/>
        <v>0</v>
      </c>
      <c r="K86" s="31">
        <f t="shared" si="22"/>
        <v>219600</v>
      </c>
    </row>
    <row r="87" spans="1:11" ht="12.75" customHeight="1">
      <c r="A87" s="6" t="s">
        <v>146</v>
      </c>
      <c r="B87" s="16" t="s">
        <v>147</v>
      </c>
      <c r="C87" s="17">
        <v>2199000</v>
      </c>
      <c r="D87" s="17">
        <v>0</v>
      </c>
      <c r="E87" s="9">
        <f>SUM(C87:D87)</f>
        <v>2199000</v>
      </c>
      <c r="F87" s="17">
        <f>F90</f>
        <v>-330507</v>
      </c>
      <c r="G87" s="17">
        <f>G90</f>
        <v>0</v>
      </c>
      <c r="H87" s="9">
        <f>F87+G87</f>
        <v>-330507</v>
      </c>
      <c r="I87" s="9">
        <f t="shared" si="22"/>
        <v>1868493</v>
      </c>
      <c r="J87" s="9">
        <f t="shared" si="22"/>
        <v>0</v>
      </c>
      <c r="K87" s="9">
        <f t="shared" si="22"/>
        <v>1868493</v>
      </c>
    </row>
    <row r="88" spans="1:11" ht="12.75" customHeight="1">
      <c r="A88" s="18"/>
      <c r="B88" s="19" t="s">
        <v>148</v>
      </c>
      <c r="C88" s="20"/>
      <c r="D88" s="20"/>
      <c r="E88" s="11"/>
      <c r="F88" s="20"/>
      <c r="G88" s="20"/>
      <c r="H88" s="11"/>
      <c r="I88" s="11"/>
      <c r="J88" s="11"/>
      <c r="K88" s="11"/>
    </row>
    <row r="89" spans="1:11" ht="12.75" customHeight="1">
      <c r="A89" s="21"/>
      <c r="B89" s="22" t="s">
        <v>149</v>
      </c>
      <c r="C89" s="23">
        <v>120000</v>
      </c>
      <c r="D89" s="23">
        <v>0</v>
      </c>
      <c r="E89" s="13">
        <f aca="true" t="shared" si="23" ref="E89:E94">SUM(C89:D89)</f>
        <v>120000</v>
      </c>
      <c r="F89" s="23">
        <f>F93</f>
        <v>-120000</v>
      </c>
      <c r="G89" s="23">
        <v>0</v>
      </c>
      <c r="H89" s="13">
        <f aca="true" t="shared" si="24" ref="H89:H94">F89+G89</f>
        <v>-120000</v>
      </c>
      <c r="I89" s="13">
        <f aca="true" t="shared" si="25" ref="I89:K94">C89+F89</f>
        <v>0</v>
      </c>
      <c r="J89" s="13">
        <f t="shared" si="25"/>
        <v>0</v>
      </c>
      <c r="K89" s="13">
        <f t="shared" si="25"/>
        <v>0</v>
      </c>
    </row>
    <row r="90" spans="1:11" ht="12.75" customHeight="1">
      <c r="A90" s="24">
        <v>75818</v>
      </c>
      <c r="B90" s="25" t="s">
        <v>150</v>
      </c>
      <c r="C90" s="26">
        <v>2199000</v>
      </c>
      <c r="D90" s="26">
        <v>0</v>
      </c>
      <c r="E90" s="27">
        <f t="shared" si="23"/>
        <v>2199000</v>
      </c>
      <c r="F90" s="26">
        <f>SUM(F91:F93)</f>
        <v>-330507</v>
      </c>
      <c r="G90" s="26">
        <f>SUM(G91:G93)</f>
        <v>0</v>
      </c>
      <c r="H90" s="27">
        <f t="shared" si="24"/>
        <v>-330507</v>
      </c>
      <c r="I90" s="27">
        <f t="shared" si="25"/>
        <v>1868493</v>
      </c>
      <c r="J90" s="27">
        <f t="shared" si="25"/>
        <v>0</v>
      </c>
      <c r="K90" s="27">
        <f t="shared" si="25"/>
        <v>1868493</v>
      </c>
    </row>
    <row r="91" spans="1:11" ht="12.75" customHeight="1">
      <c r="A91" s="28" t="s">
        <v>151</v>
      </c>
      <c r="B91" s="29" t="s">
        <v>152</v>
      </c>
      <c r="C91" s="30">
        <v>200000</v>
      </c>
      <c r="D91" s="30">
        <v>0</v>
      </c>
      <c r="E91" s="31">
        <f t="shared" si="23"/>
        <v>200000</v>
      </c>
      <c r="F91" s="30">
        <v>-200000</v>
      </c>
      <c r="G91" s="30">
        <v>0</v>
      </c>
      <c r="H91" s="31">
        <f t="shared" si="24"/>
        <v>-200000</v>
      </c>
      <c r="I91" s="31">
        <f aca="true" t="shared" si="26" ref="I91:K92">C91+F91</f>
        <v>0</v>
      </c>
      <c r="J91" s="31">
        <f t="shared" si="26"/>
        <v>0</v>
      </c>
      <c r="K91" s="31">
        <f t="shared" si="26"/>
        <v>0</v>
      </c>
    </row>
    <row r="92" spans="1:11" ht="12.75" customHeight="1">
      <c r="A92" s="28" t="s">
        <v>153</v>
      </c>
      <c r="B92" s="29" t="s">
        <v>154</v>
      </c>
      <c r="C92" s="30">
        <v>624000</v>
      </c>
      <c r="D92" s="30">
        <v>0</v>
      </c>
      <c r="E92" s="31">
        <f t="shared" si="23"/>
        <v>624000</v>
      </c>
      <c r="F92" s="30">
        <v>-10507</v>
      </c>
      <c r="G92" s="30">
        <v>0</v>
      </c>
      <c r="H92" s="31">
        <f t="shared" si="24"/>
        <v>-10507</v>
      </c>
      <c r="I92" s="31">
        <f t="shared" si="26"/>
        <v>613493</v>
      </c>
      <c r="J92" s="31">
        <f t="shared" si="26"/>
        <v>0</v>
      </c>
      <c r="K92" s="31">
        <f t="shared" si="26"/>
        <v>613493</v>
      </c>
    </row>
    <row r="93" spans="1:11" ht="12.75" customHeight="1">
      <c r="A93" s="28" t="s">
        <v>155</v>
      </c>
      <c r="B93" s="29" t="s">
        <v>156</v>
      </c>
      <c r="C93" s="30">
        <v>120000</v>
      </c>
      <c r="D93" s="30">
        <v>0</v>
      </c>
      <c r="E93" s="31">
        <f t="shared" si="23"/>
        <v>120000</v>
      </c>
      <c r="F93" s="30">
        <v>-120000</v>
      </c>
      <c r="G93" s="30">
        <v>0</v>
      </c>
      <c r="H93" s="31">
        <f t="shared" si="24"/>
        <v>-120000</v>
      </c>
      <c r="I93" s="31">
        <f t="shared" si="25"/>
        <v>0</v>
      </c>
      <c r="J93" s="31">
        <f t="shared" si="25"/>
        <v>0</v>
      </c>
      <c r="K93" s="31">
        <f t="shared" si="25"/>
        <v>0</v>
      </c>
    </row>
    <row r="94" spans="1:11" ht="12.75" customHeight="1">
      <c r="A94" s="6" t="s">
        <v>157</v>
      </c>
      <c r="B94" s="16" t="s">
        <v>158</v>
      </c>
      <c r="C94" s="17">
        <v>35036101</v>
      </c>
      <c r="D94" s="17">
        <v>275000</v>
      </c>
      <c r="E94" s="9">
        <f t="shared" si="23"/>
        <v>35311101</v>
      </c>
      <c r="F94" s="17">
        <f>F97+F104+F110+F119+F116</f>
        <v>113244</v>
      </c>
      <c r="G94" s="17">
        <f>G97</f>
        <v>13934</v>
      </c>
      <c r="H94" s="9">
        <f t="shared" si="24"/>
        <v>127178</v>
      </c>
      <c r="I94" s="9">
        <f t="shared" si="25"/>
        <v>35149345</v>
      </c>
      <c r="J94" s="9">
        <f t="shared" si="25"/>
        <v>288934</v>
      </c>
      <c r="K94" s="9">
        <f t="shared" si="25"/>
        <v>35438279</v>
      </c>
    </row>
    <row r="95" spans="1:11" ht="12.75" customHeight="1">
      <c r="A95" s="18"/>
      <c r="B95" s="19" t="s">
        <v>159</v>
      </c>
      <c r="C95" s="20"/>
      <c r="D95" s="20"/>
      <c r="E95" s="11"/>
      <c r="F95" s="20"/>
      <c r="G95" s="20"/>
      <c r="H95" s="11"/>
      <c r="I95" s="11"/>
      <c r="J95" s="11"/>
      <c r="K95" s="11"/>
    </row>
    <row r="96" spans="1:11" ht="12.75" customHeight="1">
      <c r="A96" s="21"/>
      <c r="B96" s="22" t="s">
        <v>160</v>
      </c>
      <c r="C96" s="23">
        <v>275000</v>
      </c>
      <c r="D96" s="23">
        <v>275000</v>
      </c>
      <c r="E96" s="13">
        <f>SUM(C96:D96)</f>
        <v>550000</v>
      </c>
      <c r="F96" s="23">
        <f>F103+F108</f>
        <v>-195000</v>
      </c>
      <c r="G96" s="23">
        <v>0</v>
      </c>
      <c r="H96" s="13">
        <f>F96+G96</f>
        <v>-195000</v>
      </c>
      <c r="I96" s="13">
        <f>C96+F96</f>
        <v>80000</v>
      </c>
      <c r="J96" s="13">
        <f>D96+G96</f>
        <v>275000</v>
      </c>
      <c r="K96" s="13">
        <f>E96+H96</f>
        <v>355000</v>
      </c>
    </row>
    <row r="97" spans="1:11" ht="12.75" customHeight="1">
      <c r="A97" s="32">
        <v>80101</v>
      </c>
      <c r="B97" s="33" t="s">
        <v>161</v>
      </c>
      <c r="C97" s="34">
        <v>15091021</v>
      </c>
      <c r="D97" s="34">
        <v>225000</v>
      </c>
      <c r="E97" s="27">
        <f aca="true" t="shared" si="27" ref="E97:E105">SUM(C97:D97)</f>
        <v>15316021</v>
      </c>
      <c r="F97" s="34">
        <f>SUM(F98:F103)</f>
        <v>1244</v>
      </c>
      <c r="G97" s="34">
        <f>SUM(G98:G102)</f>
        <v>13934</v>
      </c>
      <c r="H97" s="27">
        <f aca="true" t="shared" si="28" ref="H97:H105">F97+G97</f>
        <v>15178</v>
      </c>
      <c r="I97" s="27">
        <f aca="true" t="shared" si="29" ref="I97:I105">C97+F97</f>
        <v>15092265</v>
      </c>
      <c r="J97" s="27">
        <f aca="true" t="shared" si="30" ref="J97:J105">D97+G97</f>
        <v>238934</v>
      </c>
      <c r="K97" s="27">
        <f>SUM(E97+H97)</f>
        <v>15331199</v>
      </c>
    </row>
    <row r="98" spans="1:11" ht="12.75" customHeight="1">
      <c r="A98" s="35" t="s">
        <v>162</v>
      </c>
      <c r="B98" s="36" t="s">
        <v>163</v>
      </c>
      <c r="C98" s="37">
        <v>9537770</v>
      </c>
      <c r="D98" s="37">
        <v>0</v>
      </c>
      <c r="E98" s="31">
        <f t="shared" si="27"/>
        <v>9537770</v>
      </c>
      <c r="F98" s="37">
        <f>6449+2610+1989+11313+3277+4954+14344+7700+8457+10359+10918</f>
        <v>82370</v>
      </c>
      <c r="G98" s="37">
        <v>0</v>
      </c>
      <c r="H98" s="31">
        <f t="shared" si="28"/>
        <v>82370</v>
      </c>
      <c r="I98" s="31">
        <f t="shared" si="29"/>
        <v>9620140</v>
      </c>
      <c r="J98" s="31">
        <f t="shared" si="30"/>
        <v>0</v>
      </c>
      <c r="K98" s="31">
        <f aca="true" t="shared" si="31" ref="K98:K103">E98+H98</f>
        <v>9620140</v>
      </c>
    </row>
    <row r="99" spans="1:11" ht="12.75" customHeight="1">
      <c r="A99" s="35" t="s">
        <v>164</v>
      </c>
      <c r="B99" s="36" t="s">
        <v>165</v>
      </c>
      <c r="C99" s="37">
        <v>879488</v>
      </c>
      <c r="D99" s="37">
        <v>0</v>
      </c>
      <c r="E99" s="31">
        <f t="shared" si="27"/>
        <v>879488</v>
      </c>
      <c r="F99" s="37">
        <f>-6449-2610-1989-2184-3277-4954-14344-7700-4036-1701-10918</f>
        <v>-60162</v>
      </c>
      <c r="G99" s="37">
        <v>0</v>
      </c>
      <c r="H99" s="31">
        <f t="shared" si="28"/>
        <v>-60162</v>
      </c>
      <c r="I99" s="31">
        <f t="shared" si="29"/>
        <v>819326</v>
      </c>
      <c r="J99" s="31">
        <f t="shared" si="30"/>
        <v>0</v>
      </c>
      <c r="K99" s="31">
        <f t="shared" si="31"/>
        <v>819326</v>
      </c>
    </row>
    <row r="100" spans="1:11" ht="12.75" customHeight="1">
      <c r="A100" s="35" t="s">
        <v>166</v>
      </c>
      <c r="B100" s="36" t="s">
        <v>167</v>
      </c>
      <c r="C100" s="37">
        <v>700</v>
      </c>
      <c r="D100" s="37">
        <v>0</v>
      </c>
      <c r="E100" s="31">
        <f>SUM(C100:D100)</f>
        <v>700</v>
      </c>
      <c r="F100" s="37">
        <v>0</v>
      </c>
      <c r="G100" s="37">
        <v>13934</v>
      </c>
      <c r="H100" s="31">
        <f>F100+G100</f>
        <v>13934</v>
      </c>
      <c r="I100" s="31">
        <f>C100+F100</f>
        <v>700</v>
      </c>
      <c r="J100" s="31">
        <f>D100+G100</f>
        <v>13934</v>
      </c>
      <c r="K100" s="31">
        <f t="shared" si="31"/>
        <v>14634</v>
      </c>
    </row>
    <row r="101" spans="1:11" ht="12.75" customHeight="1">
      <c r="A101" s="35" t="s">
        <v>168</v>
      </c>
      <c r="B101" s="36" t="s">
        <v>169</v>
      </c>
      <c r="C101" s="37">
        <v>268400</v>
      </c>
      <c r="D101" s="37">
        <v>0</v>
      </c>
      <c r="E101" s="31">
        <f t="shared" si="27"/>
        <v>268400</v>
      </c>
      <c r="F101" s="37">
        <f>2000+176000</f>
        <v>178000</v>
      </c>
      <c r="G101" s="37">
        <v>0</v>
      </c>
      <c r="H101" s="31">
        <f t="shared" si="28"/>
        <v>178000</v>
      </c>
      <c r="I101" s="31">
        <f t="shared" si="29"/>
        <v>446400</v>
      </c>
      <c r="J101" s="31">
        <f t="shared" si="30"/>
        <v>0</v>
      </c>
      <c r="K101" s="31">
        <f t="shared" si="31"/>
        <v>446400</v>
      </c>
    </row>
    <row r="102" spans="1:11" ht="12.75" customHeight="1">
      <c r="A102" s="35" t="s">
        <v>170</v>
      </c>
      <c r="B102" s="36" t="s">
        <v>171</v>
      </c>
      <c r="C102" s="37">
        <v>117900</v>
      </c>
      <c r="D102" s="37">
        <v>0</v>
      </c>
      <c r="E102" s="31">
        <f t="shared" si="27"/>
        <v>117900</v>
      </c>
      <c r="F102" s="37">
        <f>4036+4000-2000</f>
        <v>6036</v>
      </c>
      <c r="G102" s="37">
        <v>0</v>
      </c>
      <c r="H102" s="31">
        <f t="shared" si="28"/>
        <v>6036</v>
      </c>
      <c r="I102" s="31">
        <f t="shared" si="29"/>
        <v>123936</v>
      </c>
      <c r="J102" s="31">
        <f t="shared" si="30"/>
        <v>0</v>
      </c>
      <c r="K102" s="31">
        <f t="shared" si="31"/>
        <v>123936</v>
      </c>
    </row>
    <row r="103" spans="1:11" ht="12.75" customHeight="1">
      <c r="A103" s="35" t="s">
        <v>172</v>
      </c>
      <c r="B103" s="36" t="s">
        <v>173</v>
      </c>
      <c r="C103" s="37">
        <v>225000</v>
      </c>
      <c r="D103" s="37">
        <v>225000</v>
      </c>
      <c r="E103" s="31">
        <f>SUM(C103:D103)</f>
        <v>450000</v>
      </c>
      <c r="F103" s="37">
        <f>-205000</f>
        <v>-205000</v>
      </c>
      <c r="G103" s="37">
        <v>0</v>
      </c>
      <c r="H103" s="31">
        <f>F103+G103</f>
        <v>-205000</v>
      </c>
      <c r="I103" s="31">
        <f>C103+F103</f>
        <v>20000</v>
      </c>
      <c r="J103" s="31">
        <f>D103+G103</f>
        <v>225000</v>
      </c>
      <c r="K103" s="31">
        <f t="shared" si="31"/>
        <v>245000</v>
      </c>
    </row>
    <row r="104" spans="1:11" s="1" customFormat="1" ht="12.75" customHeight="1">
      <c r="A104" s="32">
        <v>80104</v>
      </c>
      <c r="B104" s="33" t="s">
        <v>174</v>
      </c>
      <c r="C104" s="34">
        <v>6710100</v>
      </c>
      <c r="D104" s="34">
        <v>50000</v>
      </c>
      <c r="E104" s="27">
        <f t="shared" si="27"/>
        <v>6760100</v>
      </c>
      <c r="F104" s="34">
        <f>SUM(F105:F108)</f>
        <v>10533</v>
      </c>
      <c r="G104" s="34">
        <v>0</v>
      </c>
      <c r="H104" s="27">
        <f t="shared" si="28"/>
        <v>10533</v>
      </c>
      <c r="I104" s="27">
        <f t="shared" si="29"/>
        <v>6720633</v>
      </c>
      <c r="J104" s="27">
        <f t="shared" si="30"/>
        <v>50000</v>
      </c>
      <c r="K104" s="27">
        <f>SUM(E104+H104)</f>
        <v>6770633</v>
      </c>
    </row>
    <row r="105" spans="1:11" s="1" customFormat="1" ht="12.75" customHeight="1">
      <c r="A105" s="35" t="s">
        <v>175</v>
      </c>
      <c r="B105" s="36" t="s">
        <v>176</v>
      </c>
      <c r="C105" s="37">
        <v>0</v>
      </c>
      <c r="D105" s="37">
        <v>0</v>
      </c>
      <c r="E105" s="31">
        <f>SUM(C105:D105)</f>
        <v>0</v>
      </c>
      <c r="F105" s="37">
        <v>5900</v>
      </c>
      <c r="G105" s="37">
        <v>0</v>
      </c>
      <c r="H105" s="31">
        <f>F105+G105</f>
        <v>5900</v>
      </c>
      <c r="I105" s="31">
        <f>C105+F105</f>
        <v>5900</v>
      </c>
      <c r="J105" s="31">
        <f>D105+G105</f>
        <v>0</v>
      </c>
      <c r="K105" s="31">
        <f>E105+H105</f>
        <v>5900</v>
      </c>
    </row>
    <row r="106" spans="1:11" s="1" customFormat="1" ht="12.75" customHeight="1">
      <c r="A106" s="35" t="s">
        <v>177</v>
      </c>
      <c r="B106" s="36" t="s">
        <v>178</v>
      </c>
      <c r="C106" s="37">
        <v>4444807</v>
      </c>
      <c r="D106" s="37">
        <v>0</v>
      </c>
      <c r="E106" s="31">
        <f t="shared" si="27"/>
        <v>4444807</v>
      </c>
      <c r="F106" s="37">
        <v>15414</v>
      </c>
      <c r="G106" s="37">
        <v>0</v>
      </c>
      <c r="H106" s="31">
        <f t="shared" si="28"/>
        <v>15414</v>
      </c>
      <c r="I106" s="31">
        <f t="shared" si="29"/>
        <v>4460221</v>
      </c>
      <c r="J106" s="31">
        <f t="shared" si="30"/>
        <v>0</v>
      </c>
      <c r="K106" s="31">
        <f>E106+H106</f>
        <v>4460221</v>
      </c>
    </row>
    <row r="107" spans="1:11" s="1" customFormat="1" ht="12.75" customHeight="1">
      <c r="A107" s="35" t="s">
        <v>179</v>
      </c>
      <c r="B107" s="36" t="s">
        <v>180</v>
      </c>
      <c r="C107" s="37">
        <v>398600</v>
      </c>
      <c r="D107" s="37">
        <v>0</v>
      </c>
      <c r="E107" s="31">
        <f t="shared" si="27"/>
        <v>398600</v>
      </c>
      <c r="F107" s="37">
        <f>-20781</f>
        <v>-20781</v>
      </c>
      <c r="G107" s="37">
        <v>0</v>
      </c>
      <c r="H107" s="31">
        <f t="shared" si="28"/>
        <v>-20781</v>
      </c>
      <c r="I107" s="31">
        <f t="shared" si="29"/>
        <v>377819</v>
      </c>
      <c r="J107" s="31">
        <f t="shared" si="30"/>
        <v>0</v>
      </c>
      <c r="K107" s="31">
        <f>E107+H107</f>
        <v>377819</v>
      </c>
    </row>
    <row r="108" spans="1:11" s="42" customFormat="1" ht="12.75" customHeight="1">
      <c r="A108" s="38" t="s">
        <v>181</v>
      </c>
      <c r="B108" s="39" t="s">
        <v>182</v>
      </c>
      <c r="C108" s="40">
        <v>50000</v>
      </c>
      <c r="D108" s="40">
        <v>50000</v>
      </c>
      <c r="E108" s="41">
        <f t="shared" si="27"/>
        <v>100000</v>
      </c>
      <c r="F108" s="40">
        <v>10000</v>
      </c>
      <c r="G108" s="40">
        <v>0</v>
      </c>
      <c r="H108" s="41">
        <f t="shared" si="28"/>
        <v>10000</v>
      </c>
      <c r="I108" s="41">
        <f t="shared" si="29"/>
        <v>60000</v>
      </c>
      <c r="J108" s="41">
        <f t="shared" si="30"/>
        <v>50000</v>
      </c>
      <c r="K108" s="41">
        <f>E108+H108</f>
        <v>110000</v>
      </c>
    </row>
    <row r="109" spans="1:11" s="1" customFormat="1" ht="12.75" customHeight="1">
      <c r="A109" s="35"/>
      <c r="B109" s="36"/>
      <c r="C109" s="37"/>
      <c r="D109" s="37"/>
      <c r="E109" s="31"/>
      <c r="F109" s="37"/>
      <c r="G109" s="37"/>
      <c r="H109" s="31"/>
      <c r="I109" s="31"/>
      <c r="J109" s="31"/>
      <c r="K109" s="31"/>
    </row>
    <row r="110" spans="1:11" ht="12.75" customHeight="1">
      <c r="A110" s="32">
        <v>80110</v>
      </c>
      <c r="B110" s="33" t="s">
        <v>183</v>
      </c>
      <c r="C110" s="34">
        <v>11723950</v>
      </c>
      <c r="D110" s="34">
        <v>0</v>
      </c>
      <c r="E110" s="27">
        <f aca="true" t="shared" si="32" ref="E110:E120">SUM(C110:D110)</f>
        <v>11723950</v>
      </c>
      <c r="F110" s="34">
        <f>SUM(F111:F115)</f>
        <v>91899</v>
      </c>
      <c r="G110" s="34">
        <v>0</v>
      </c>
      <c r="H110" s="27">
        <f aca="true" t="shared" si="33" ref="H110:H120">F110+G110</f>
        <v>91899</v>
      </c>
      <c r="I110" s="27">
        <f aca="true" t="shared" si="34" ref="I110:K121">C110+F110</f>
        <v>11815849</v>
      </c>
      <c r="J110" s="27">
        <f t="shared" si="34"/>
        <v>0</v>
      </c>
      <c r="K110" s="27">
        <f>SUM(E110+H110)</f>
        <v>11815849</v>
      </c>
    </row>
    <row r="111" spans="1:11" ht="12.75" customHeight="1">
      <c r="A111" s="35" t="s">
        <v>184</v>
      </c>
      <c r="B111" s="36" t="s">
        <v>185</v>
      </c>
      <c r="C111" s="37">
        <v>7387220</v>
      </c>
      <c r="D111" s="37">
        <v>0</v>
      </c>
      <c r="E111" s="31">
        <f t="shared" si="32"/>
        <v>7387220</v>
      </c>
      <c r="F111" s="37">
        <f>158+6028+2644+362+10610</f>
        <v>19802</v>
      </c>
      <c r="G111" s="37">
        <v>0</v>
      </c>
      <c r="H111" s="31">
        <f t="shared" si="33"/>
        <v>19802</v>
      </c>
      <c r="I111" s="31">
        <f t="shared" si="34"/>
        <v>7407022</v>
      </c>
      <c r="J111" s="31">
        <f t="shared" si="34"/>
        <v>0</v>
      </c>
      <c r="K111" s="31">
        <f>E111+H111</f>
        <v>7407022</v>
      </c>
    </row>
    <row r="112" spans="1:11" ht="12.75" customHeight="1">
      <c r="A112" s="35" t="s">
        <v>186</v>
      </c>
      <c r="B112" s="36" t="s">
        <v>187</v>
      </c>
      <c r="C112" s="37">
        <v>655100</v>
      </c>
      <c r="D112" s="37">
        <v>0</v>
      </c>
      <c r="E112" s="31">
        <f t="shared" si="32"/>
        <v>655100</v>
      </c>
      <c r="F112" s="37">
        <f>-158-6028-2644-362-10711</f>
        <v>-19903</v>
      </c>
      <c r="G112" s="37">
        <v>0</v>
      </c>
      <c r="H112" s="31">
        <f t="shared" si="33"/>
        <v>-19903</v>
      </c>
      <c r="I112" s="31">
        <f t="shared" si="34"/>
        <v>635197</v>
      </c>
      <c r="J112" s="31">
        <f t="shared" si="34"/>
        <v>0</v>
      </c>
      <c r="K112" s="31">
        <f>E112+H112</f>
        <v>635197</v>
      </c>
    </row>
    <row r="113" spans="1:11" ht="12.75" customHeight="1">
      <c r="A113" s="35" t="s">
        <v>188</v>
      </c>
      <c r="B113" s="36" t="s">
        <v>189</v>
      </c>
      <c r="C113" s="37">
        <v>165000</v>
      </c>
      <c r="D113" s="37">
        <v>0</v>
      </c>
      <c r="E113" s="31">
        <f t="shared" si="32"/>
        <v>165000</v>
      </c>
      <c r="F113" s="37">
        <f>1584+92000</f>
        <v>93584</v>
      </c>
      <c r="G113" s="37">
        <v>0</v>
      </c>
      <c r="H113" s="31">
        <f t="shared" si="33"/>
        <v>93584</v>
      </c>
      <c r="I113" s="31">
        <f t="shared" si="34"/>
        <v>258584</v>
      </c>
      <c r="J113" s="31">
        <f t="shared" si="34"/>
        <v>0</v>
      </c>
      <c r="K113" s="31">
        <f>E113+H113</f>
        <v>258584</v>
      </c>
    </row>
    <row r="114" spans="1:11" ht="12.75" customHeight="1">
      <c r="A114" s="35" t="s">
        <v>190</v>
      </c>
      <c r="B114" s="36" t="s">
        <v>191</v>
      </c>
      <c r="C114" s="37">
        <v>84000</v>
      </c>
      <c r="D114" s="37">
        <v>0</v>
      </c>
      <c r="E114" s="31">
        <f t="shared" si="32"/>
        <v>84000</v>
      </c>
      <c r="F114" s="37">
        <v>-2411</v>
      </c>
      <c r="G114" s="37">
        <v>0</v>
      </c>
      <c r="H114" s="31">
        <f t="shared" si="33"/>
        <v>-2411</v>
      </c>
      <c r="I114" s="31">
        <f t="shared" si="34"/>
        <v>81589</v>
      </c>
      <c r="J114" s="31">
        <f t="shared" si="34"/>
        <v>0</v>
      </c>
      <c r="K114" s="31">
        <f>E114+H114</f>
        <v>81589</v>
      </c>
    </row>
    <row r="115" spans="1:11" ht="12.75" customHeight="1">
      <c r="A115" s="35" t="s">
        <v>192</v>
      </c>
      <c r="B115" s="36" t="s">
        <v>193</v>
      </c>
      <c r="C115" s="37">
        <v>0</v>
      </c>
      <c r="D115" s="37">
        <v>0</v>
      </c>
      <c r="E115" s="31">
        <f>SUM(C115:D115)</f>
        <v>0</v>
      </c>
      <c r="F115" s="37">
        <v>827</v>
      </c>
      <c r="G115" s="37">
        <v>0</v>
      </c>
      <c r="H115" s="31">
        <f>F115+G115</f>
        <v>827</v>
      </c>
      <c r="I115" s="31">
        <f t="shared" si="34"/>
        <v>827</v>
      </c>
      <c r="J115" s="31">
        <f t="shared" si="34"/>
        <v>0</v>
      </c>
      <c r="K115" s="31">
        <f>E115+H115</f>
        <v>827</v>
      </c>
    </row>
    <row r="116" spans="1:11" ht="12.75" customHeight="1">
      <c r="A116" s="32">
        <v>80146</v>
      </c>
      <c r="B116" s="33" t="s">
        <v>194</v>
      </c>
      <c r="C116" s="34">
        <v>359430</v>
      </c>
      <c r="D116" s="34">
        <v>0</v>
      </c>
      <c r="E116" s="27">
        <f t="shared" si="32"/>
        <v>359430</v>
      </c>
      <c r="F116" s="34">
        <f>SUM(F117:F118)</f>
        <v>-432</v>
      </c>
      <c r="G116" s="34">
        <v>0</v>
      </c>
      <c r="H116" s="27">
        <f t="shared" si="33"/>
        <v>-432</v>
      </c>
      <c r="I116" s="27">
        <f aca="true" t="shared" si="35" ref="I116:J118">C116+F116</f>
        <v>358998</v>
      </c>
      <c r="J116" s="27">
        <f t="shared" si="35"/>
        <v>0</v>
      </c>
      <c r="K116" s="27">
        <f>SUM(E116+H116)</f>
        <v>358998</v>
      </c>
    </row>
    <row r="117" spans="1:11" ht="12.75" customHeight="1">
      <c r="A117" s="35" t="s">
        <v>195</v>
      </c>
      <c r="B117" s="36" t="s">
        <v>196</v>
      </c>
      <c r="C117" s="37">
        <v>174950</v>
      </c>
      <c r="D117" s="37">
        <v>0</v>
      </c>
      <c r="E117" s="31">
        <f t="shared" si="32"/>
        <v>174950</v>
      </c>
      <c r="F117" s="37">
        <f>-500+11+139+72+1001</f>
        <v>723</v>
      </c>
      <c r="G117" s="37">
        <v>0</v>
      </c>
      <c r="H117" s="31">
        <f t="shared" si="33"/>
        <v>723</v>
      </c>
      <c r="I117" s="31">
        <f t="shared" si="35"/>
        <v>175673</v>
      </c>
      <c r="J117" s="31">
        <f t="shared" si="35"/>
        <v>0</v>
      </c>
      <c r="K117" s="31">
        <f>E117+H117</f>
        <v>175673</v>
      </c>
    </row>
    <row r="118" spans="1:11" ht="12.75" customHeight="1">
      <c r="A118" s="35" t="s">
        <v>197</v>
      </c>
      <c r="B118" s="36" t="s">
        <v>198</v>
      </c>
      <c r="C118" s="37">
        <v>14450</v>
      </c>
      <c r="D118" s="37">
        <v>0</v>
      </c>
      <c r="E118" s="31">
        <f t="shared" si="32"/>
        <v>14450</v>
      </c>
      <c r="F118" s="37">
        <f>-33-11-139-72-1001+101</f>
        <v>-1155</v>
      </c>
      <c r="G118" s="37">
        <v>0</v>
      </c>
      <c r="H118" s="31">
        <f t="shared" si="33"/>
        <v>-1155</v>
      </c>
      <c r="I118" s="31">
        <f t="shared" si="35"/>
        <v>13295</v>
      </c>
      <c r="J118" s="31">
        <f t="shared" si="35"/>
        <v>0</v>
      </c>
      <c r="K118" s="31">
        <f>E118+H118</f>
        <v>13295</v>
      </c>
    </row>
    <row r="119" spans="1:11" ht="12.75" customHeight="1">
      <c r="A119" s="24">
        <v>80195</v>
      </c>
      <c r="B119" s="25" t="s">
        <v>199</v>
      </c>
      <c r="C119" s="26">
        <v>451000</v>
      </c>
      <c r="D119" s="26">
        <v>0</v>
      </c>
      <c r="E119" s="27">
        <f t="shared" si="32"/>
        <v>451000</v>
      </c>
      <c r="F119" s="26">
        <f>SUM(F120:F120)</f>
        <v>10000</v>
      </c>
      <c r="G119" s="26">
        <f>SUM(G120:G120)</f>
        <v>0</v>
      </c>
      <c r="H119" s="27">
        <f t="shared" si="33"/>
        <v>10000</v>
      </c>
      <c r="I119" s="27">
        <f t="shared" si="34"/>
        <v>461000</v>
      </c>
      <c r="J119" s="27">
        <f t="shared" si="34"/>
        <v>0</v>
      </c>
      <c r="K119" s="27">
        <f t="shared" si="34"/>
        <v>461000</v>
      </c>
    </row>
    <row r="120" spans="1:11" ht="12.75" customHeight="1">
      <c r="A120" s="43" t="s">
        <v>200</v>
      </c>
      <c r="B120" s="44" t="s">
        <v>201</v>
      </c>
      <c r="C120" s="45">
        <v>350582</v>
      </c>
      <c r="D120" s="45">
        <v>0</v>
      </c>
      <c r="E120" s="41">
        <f t="shared" si="32"/>
        <v>350582</v>
      </c>
      <c r="F120" s="45">
        <v>10000</v>
      </c>
      <c r="G120" s="45">
        <v>0</v>
      </c>
      <c r="H120" s="41">
        <f t="shared" si="33"/>
        <v>10000</v>
      </c>
      <c r="I120" s="41">
        <f t="shared" si="34"/>
        <v>360582</v>
      </c>
      <c r="J120" s="41">
        <f t="shared" si="34"/>
        <v>0</v>
      </c>
      <c r="K120" s="41">
        <f t="shared" si="34"/>
        <v>360582</v>
      </c>
    </row>
    <row r="121" spans="1:11" ht="12.75" customHeight="1">
      <c r="A121" s="6" t="s">
        <v>202</v>
      </c>
      <c r="B121" s="16" t="s">
        <v>203</v>
      </c>
      <c r="C121" s="17">
        <v>882000</v>
      </c>
      <c r="D121" s="17">
        <v>0</v>
      </c>
      <c r="E121" s="9">
        <f t="shared" si="32"/>
        <v>882000</v>
      </c>
      <c r="F121" s="17">
        <v>0</v>
      </c>
      <c r="G121" s="17">
        <v>0</v>
      </c>
      <c r="H121" s="9">
        <f t="shared" si="33"/>
        <v>0</v>
      </c>
      <c r="I121" s="9">
        <f t="shared" si="34"/>
        <v>882000</v>
      </c>
      <c r="J121" s="9">
        <f t="shared" si="34"/>
        <v>0</v>
      </c>
      <c r="K121" s="9">
        <f t="shared" si="34"/>
        <v>882000</v>
      </c>
    </row>
    <row r="122" spans="1:11" ht="12.75" customHeight="1">
      <c r="A122" s="18"/>
      <c r="B122" s="19" t="s">
        <v>204</v>
      </c>
      <c r="C122" s="20"/>
      <c r="D122" s="20"/>
      <c r="E122" s="11"/>
      <c r="F122" s="20"/>
      <c r="G122" s="20"/>
      <c r="H122" s="11"/>
      <c r="I122" s="11"/>
      <c r="J122" s="11"/>
      <c r="K122" s="11"/>
    </row>
    <row r="123" spans="1:11" ht="12.75" customHeight="1">
      <c r="A123" s="21"/>
      <c r="B123" s="22" t="s">
        <v>205</v>
      </c>
      <c r="C123" s="23">
        <v>0</v>
      </c>
      <c r="D123" s="23">
        <v>0</v>
      </c>
      <c r="E123" s="13">
        <f aca="true" t="shared" si="36" ref="E123:E131">SUM(C123:D123)</f>
        <v>0</v>
      </c>
      <c r="F123" s="23">
        <v>0</v>
      </c>
      <c r="G123" s="23">
        <v>0</v>
      </c>
      <c r="H123" s="13">
        <f aca="true" t="shared" si="37" ref="H123:H131">F123+G123</f>
        <v>0</v>
      </c>
      <c r="I123" s="13">
        <f aca="true" t="shared" si="38" ref="I123:K131">C123+F123</f>
        <v>0</v>
      </c>
      <c r="J123" s="13">
        <f t="shared" si="38"/>
        <v>0</v>
      </c>
      <c r="K123" s="13">
        <f t="shared" si="38"/>
        <v>0</v>
      </c>
    </row>
    <row r="124" spans="1:11" ht="12.75" customHeight="1">
      <c r="A124" s="32">
        <v>85154</v>
      </c>
      <c r="B124" s="33" t="s">
        <v>206</v>
      </c>
      <c r="C124" s="26">
        <v>800000</v>
      </c>
      <c r="D124" s="26">
        <v>0</v>
      </c>
      <c r="E124" s="27">
        <f t="shared" si="36"/>
        <v>800000</v>
      </c>
      <c r="F124" s="34">
        <f>SUM(F125:F130)</f>
        <v>0</v>
      </c>
      <c r="G124" s="34">
        <v>0</v>
      </c>
      <c r="H124" s="27">
        <f t="shared" si="37"/>
        <v>0</v>
      </c>
      <c r="I124" s="27">
        <f t="shared" si="38"/>
        <v>800000</v>
      </c>
      <c r="J124" s="27">
        <f t="shared" si="38"/>
        <v>0</v>
      </c>
      <c r="K124" s="27">
        <f t="shared" si="38"/>
        <v>800000</v>
      </c>
    </row>
    <row r="125" spans="1:11" ht="12.75" customHeight="1">
      <c r="A125" s="35" t="s">
        <v>207</v>
      </c>
      <c r="B125" s="36" t="s">
        <v>208</v>
      </c>
      <c r="C125" s="30">
        <v>9111</v>
      </c>
      <c r="D125" s="30">
        <v>0</v>
      </c>
      <c r="E125" s="31">
        <f t="shared" si="36"/>
        <v>9111</v>
      </c>
      <c r="F125" s="37">
        <v>5956</v>
      </c>
      <c r="G125" s="37">
        <v>0</v>
      </c>
      <c r="H125" s="31">
        <f t="shared" si="37"/>
        <v>5956</v>
      </c>
      <c r="I125" s="31">
        <f t="shared" si="38"/>
        <v>15067</v>
      </c>
      <c r="J125" s="31">
        <f t="shared" si="38"/>
        <v>0</v>
      </c>
      <c r="K125" s="31">
        <f t="shared" si="38"/>
        <v>15067</v>
      </c>
    </row>
    <row r="126" spans="1:11" ht="12.75" customHeight="1">
      <c r="A126" s="35" t="s">
        <v>209</v>
      </c>
      <c r="B126" s="36" t="s">
        <v>210</v>
      </c>
      <c r="C126" s="30">
        <v>1245</v>
      </c>
      <c r="D126" s="30">
        <v>0</v>
      </c>
      <c r="E126" s="31">
        <f t="shared" si="36"/>
        <v>1245</v>
      </c>
      <c r="F126" s="37">
        <v>814</v>
      </c>
      <c r="G126" s="37">
        <v>0</v>
      </c>
      <c r="H126" s="31">
        <f t="shared" si="37"/>
        <v>814</v>
      </c>
      <c r="I126" s="31">
        <f t="shared" si="38"/>
        <v>2059</v>
      </c>
      <c r="J126" s="31">
        <f t="shared" si="38"/>
        <v>0</v>
      </c>
      <c r="K126" s="31">
        <f t="shared" si="38"/>
        <v>2059</v>
      </c>
    </row>
    <row r="127" spans="1:11" ht="12.75" customHeight="1">
      <c r="A127" s="35" t="s">
        <v>211</v>
      </c>
      <c r="B127" s="36" t="s">
        <v>212</v>
      </c>
      <c r="C127" s="30">
        <v>90464</v>
      </c>
      <c r="D127" s="30">
        <v>0</v>
      </c>
      <c r="E127" s="31">
        <f t="shared" si="36"/>
        <v>90464</v>
      </c>
      <c r="F127" s="37">
        <f>9600+1449</f>
        <v>11049</v>
      </c>
      <c r="G127" s="37">
        <v>0</v>
      </c>
      <c r="H127" s="31">
        <f t="shared" si="37"/>
        <v>11049</v>
      </c>
      <c r="I127" s="31">
        <f t="shared" si="38"/>
        <v>101513</v>
      </c>
      <c r="J127" s="31">
        <f t="shared" si="38"/>
        <v>0</v>
      </c>
      <c r="K127" s="31">
        <f t="shared" si="38"/>
        <v>101513</v>
      </c>
    </row>
    <row r="128" spans="1:11" ht="12.75" customHeight="1">
      <c r="A128" s="35" t="s">
        <v>213</v>
      </c>
      <c r="B128" s="36" t="s">
        <v>214</v>
      </c>
      <c r="C128" s="30">
        <v>0</v>
      </c>
      <c r="D128" s="30">
        <v>0</v>
      </c>
      <c r="E128" s="31">
        <f t="shared" si="36"/>
        <v>0</v>
      </c>
      <c r="F128" s="37">
        <v>17640</v>
      </c>
      <c r="G128" s="37">
        <v>0</v>
      </c>
      <c r="H128" s="31">
        <f t="shared" si="37"/>
        <v>17640</v>
      </c>
      <c r="I128" s="31">
        <f>C128+F128</f>
        <v>17640</v>
      </c>
      <c r="J128" s="31">
        <f>D128+G128</f>
        <v>0</v>
      </c>
      <c r="K128" s="31">
        <f>E128+H128</f>
        <v>17640</v>
      </c>
    </row>
    <row r="129" spans="1:11" ht="12.75" customHeight="1">
      <c r="A129" s="35" t="s">
        <v>215</v>
      </c>
      <c r="B129" s="36" t="s">
        <v>216</v>
      </c>
      <c r="C129" s="30">
        <v>7000</v>
      </c>
      <c r="D129" s="30">
        <v>0</v>
      </c>
      <c r="E129" s="31">
        <f t="shared" si="36"/>
        <v>7000</v>
      </c>
      <c r="F129" s="37">
        <v>26100</v>
      </c>
      <c r="G129" s="37">
        <v>0</v>
      </c>
      <c r="H129" s="31">
        <f t="shared" si="37"/>
        <v>26100</v>
      </c>
      <c r="I129" s="31">
        <f t="shared" si="38"/>
        <v>33100</v>
      </c>
      <c r="J129" s="31">
        <f t="shared" si="38"/>
        <v>0</v>
      </c>
      <c r="K129" s="31">
        <f t="shared" si="38"/>
        <v>33100</v>
      </c>
    </row>
    <row r="130" spans="1:11" ht="12.75" customHeight="1">
      <c r="A130" s="38" t="s">
        <v>217</v>
      </c>
      <c r="B130" s="39" t="s">
        <v>218</v>
      </c>
      <c r="C130" s="45">
        <v>248500</v>
      </c>
      <c r="D130" s="45">
        <v>0</v>
      </c>
      <c r="E130" s="41">
        <f t="shared" si="36"/>
        <v>248500</v>
      </c>
      <c r="F130" s="40">
        <f>33100-94659</f>
        <v>-61559</v>
      </c>
      <c r="G130" s="40">
        <v>0</v>
      </c>
      <c r="H130" s="41">
        <f t="shared" si="37"/>
        <v>-61559</v>
      </c>
      <c r="I130" s="41">
        <f t="shared" si="38"/>
        <v>186941</v>
      </c>
      <c r="J130" s="41">
        <f t="shared" si="38"/>
        <v>0</v>
      </c>
      <c r="K130" s="41">
        <f t="shared" si="38"/>
        <v>186941</v>
      </c>
    </row>
    <row r="131" spans="1:11" ht="12.75" customHeight="1">
      <c r="A131" s="6" t="s">
        <v>219</v>
      </c>
      <c r="B131" s="16" t="s">
        <v>220</v>
      </c>
      <c r="C131" s="17">
        <v>7981820</v>
      </c>
      <c r="D131" s="17">
        <v>9290224</v>
      </c>
      <c r="E131" s="9">
        <f t="shared" si="36"/>
        <v>17272044</v>
      </c>
      <c r="F131" s="17">
        <f>F134+F136+F138</f>
        <v>2000</v>
      </c>
      <c r="G131" s="17">
        <f>G134+G136</f>
        <v>-52856</v>
      </c>
      <c r="H131" s="9">
        <f t="shared" si="37"/>
        <v>-50856</v>
      </c>
      <c r="I131" s="9">
        <f t="shared" si="38"/>
        <v>7983820</v>
      </c>
      <c r="J131" s="9">
        <f t="shared" si="38"/>
        <v>9237368</v>
      </c>
      <c r="K131" s="9">
        <f t="shared" si="38"/>
        <v>17221188</v>
      </c>
    </row>
    <row r="132" spans="1:11" ht="12.75" customHeight="1">
      <c r="A132" s="18"/>
      <c r="B132" s="19" t="s">
        <v>221</v>
      </c>
      <c r="C132" s="20"/>
      <c r="D132" s="20"/>
      <c r="E132" s="11"/>
      <c r="F132" s="20"/>
      <c r="G132" s="20"/>
      <c r="H132" s="11"/>
      <c r="I132" s="11"/>
      <c r="J132" s="11"/>
      <c r="K132" s="11"/>
    </row>
    <row r="133" spans="1:11" ht="12.75" customHeight="1">
      <c r="A133" s="21"/>
      <c r="B133" s="22" t="s">
        <v>222</v>
      </c>
      <c r="C133" s="23">
        <v>0</v>
      </c>
      <c r="D133" s="23">
        <v>4000</v>
      </c>
      <c r="E133" s="13">
        <f aca="true" t="shared" si="39" ref="E133:E138">SUM(C133:D133)</f>
        <v>4000</v>
      </c>
      <c r="F133" s="23">
        <v>0</v>
      </c>
      <c r="G133" s="23">
        <f>G135</f>
        <v>21424</v>
      </c>
      <c r="H133" s="13">
        <f aca="true" t="shared" si="40" ref="H133:H138">F133+G133</f>
        <v>21424</v>
      </c>
      <c r="I133" s="13">
        <f>C133+F133</f>
        <v>0</v>
      </c>
      <c r="J133" s="13">
        <f>D133+G133</f>
        <v>25424</v>
      </c>
      <c r="K133" s="13">
        <f>E133+H133</f>
        <v>25424</v>
      </c>
    </row>
    <row r="134" spans="1:11" ht="12.75" customHeight="1">
      <c r="A134" s="32">
        <v>85212</v>
      </c>
      <c r="B134" s="33" t="s">
        <v>223</v>
      </c>
      <c r="C134" s="34">
        <v>0</v>
      </c>
      <c r="D134" s="34">
        <v>5128195</v>
      </c>
      <c r="E134" s="27">
        <f t="shared" si="39"/>
        <v>5128195</v>
      </c>
      <c r="F134" s="34">
        <f>SUM(F135:F135)</f>
        <v>0</v>
      </c>
      <c r="G134" s="34">
        <f>SUM(G135:G135)</f>
        <v>21424</v>
      </c>
      <c r="H134" s="27">
        <f t="shared" si="40"/>
        <v>21424</v>
      </c>
      <c r="I134" s="27">
        <f aca="true" t="shared" si="41" ref="I134:I138">C134+F134</f>
        <v>0</v>
      </c>
      <c r="J134" s="27">
        <f aca="true" t="shared" si="42" ref="J134:J138">D134+G134</f>
        <v>5149619</v>
      </c>
      <c r="K134" s="27">
        <f>SUM(E134+H134)</f>
        <v>5149619</v>
      </c>
    </row>
    <row r="135" spans="1:11" ht="12.75" customHeight="1">
      <c r="A135" s="35" t="s">
        <v>224</v>
      </c>
      <c r="B135" s="36" t="s">
        <v>225</v>
      </c>
      <c r="C135" s="37">
        <v>0</v>
      </c>
      <c r="D135" s="37">
        <v>4000</v>
      </c>
      <c r="E135" s="31">
        <f t="shared" si="39"/>
        <v>4000</v>
      </c>
      <c r="F135" s="37">
        <v>0</v>
      </c>
      <c r="G135" s="37">
        <v>21424</v>
      </c>
      <c r="H135" s="31">
        <f t="shared" si="40"/>
        <v>21424</v>
      </c>
      <c r="I135" s="31">
        <f t="shared" si="41"/>
        <v>0</v>
      </c>
      <c r="J135" s="31">
        <f t="shared" si="42"/>
        <v>25424</v>
      </c>
      <c r="K135" s="31">
        <f>E135+H135</f>
        <v>25424</v>
      </c>
    </row>
    <row r="136" spans="1:11" ht="12.75" customHeight="1">
      <c r="A136" s="24">
        <v>85213</v>
      </c>
      <c r="B136" s="25" t="s">
        <v>226</v>
      </c>
      <c r="C136" s="26">
        <v>0</v>
      </c>
      <c r="D136" s="26">
        <v>262920</v>
      </c>
      <c r="E136" s="27">
        <f t="shared" si="39"/>
        <v>262920</v>
      </c>
      <c r="F136" s="26">
        <f>SUM(F137:F137)</f>
        <v>0</v>
      </c>
      <c r="G136" s="26">
        <f>SUM(G137:G137)</f>
        <v>-74280</v>
      </c>
      <c r="H136" s="27">
        <f t="shared" si="40"/>
        <v>-74280</v>
      </c>
      <c r="I136" s="27">
        <f t="shared" si="41"/>
        <v>0</v>
      </c>
      <c r="J136" s="27">
        <f t="shared" si="42"/>
        <v>188640</v>
      </c>
      <c r="K136" s="27">
        <f>E136+H136</f>
        <v>188640</v>
      </c>
    </row>
    <row r="137" spans="1:11" ht="12.75" customHeight="1">
      <c r="A137" s="43" t="s">
        <v>227</v>
      </c>
      <c r="B137" s="44" t="s">
        <v>228</v>
      </c>
      <c r="C137" s="45">
        <v>0</v>
      </c>
      <c r="D137" s="45">
        <v>262920</v>
      </c>
      <c r="E137" s="41">
        <f t="shared" si="39"/>
        <v>262920</v>
      </c>
      <c r="F137" s="45">
        <v>0</v>
      </c>
      <c r="G137" s="45">
        <v>-74280</v>
      </c>
      <c r="H137" s="41">
        <f t="shared" si="40"/>
        <v>-74280</v>
      </c>
      <c r="I137" s="41">
        <f t="shared" si="41"/>
        <v>0</v>
      </c>
      <c r="J137" s="41">
        <f t="shared" si="42"/>
        <v>188640</v>
      </c>
      <c r="K137" s="41">
        <f>E137+H137</f>
        <v>188640</v>
      </c>
    </row>
    <row r="138" spans="1:11" ht="12.75" customHeight="1">
      <c r="A138" s="24">
        <v>85214</v>
      </c>
      <c r="B138" s="25" t="s">
        <v>229</v>
      </c>
      <c r="C138" s="26">
        <v>1342500</v>
      </c>
      <c r="D138" s="26">
        <v>2372589</v>
      </c>
      <c r="E138" s="27">
        <f>SUM(C138:D138)</f>
        <v>3715089</v>
      </c>
      <c r="F138" s="26">
        <f>SUM(F139:F139)</f>
        <v>2000</v>
      </c>
      <c r="G138" s="26">
        <f>SUM(G139:G139)</f>
        <v>0</v>
      </c>
      <c r="H138" s="27">
        <f>F138+G138</f>
        <v>2000</v>
      </c>
      <c r="I138" s="27">
        <f aca="true" t="shared" si="43" ref="I138:K139">C138+F138</f>
        <v>1344500</v>
      </c>
      <c r="J138" s="27">
        <f t="shared" si="43"/>
        <v>2372589</v>
      </c>
      <c r="K138" s="27">
        <f t="shared" si="43"/>
        <v>3717089</v>
      </c>
    </row>
    <row r="139" spans="1:11" ht="12.75" customHeight="1">
      <c r="A139" s="43" t="s">
        <v>230</v>
      </c>
      <c r="B139" s="44" t="s">
        <v>231</v>
      </c>
      <c r="C139" s="45">
        <v>0</v>
      </c>
      <c r="D139" s="45">
        <v>0</v>
      </c>
      <c r="E139" s="41">
        <f>SUM(C139:D139)</f>
        <v>0</v>
      </c>
      <c r="F139" s="45">
        <v>2000</v>
      </c>
      <c r="G139" s="45">
        <v>0</v>
      </c>
      <c r="H139" s="41">
        <f>F139+G139</f>
        <v>2000</v>
      </c>
      <c r="I139" s="41">
        <f t="shared" si="43"/>
        <v>2000</v>
      </c>
      <c r="J139" s="41">
        <f t="shared" si="43"/>
        <v>0</v>
      </c>
      <c r="K139" s="41">
        <f t="shared" si="43"/>
        <v>2000</v>
      </c>
    </row>
    <row r="140" spans="1:11" ht="12.75" customHeight="1">
      <c r="A140" s="6" t="s">
        <v>232</v>
      </c>
      <c r="B140" s="16" t="s">
        <v>233</v>
      </c>
      <c r="C140" s="17">
        <v>605000</v>
      </c>
      <c r="D140" s="17">
        <v>0</v>
      </c>
      <c r="E140" s="9">
        <f t="shared" si="39"/>
        <v>605000</v>
      </c>
      <c r="F140" s="17">
        <f>F143</f>
        <v>0</v>
      </c>
      <c r="G140" s="17">
        <f>G148</f>
        <v>0</v>
      </c>
      <c r="H140" s="9">
        <f t="shared" si="40"/>
        <v>0</v>
      </c>
      <c r="I140" s="9">
        <f t="shared" si="41"/>
        <v>605000</v>
      </c>
      <c r="J140" s="9">
        <f t="shared" si="42"/>
        <v>0</v>
      </c>
      <c r="K140" s="9">
        <f>E140+H140</f>
        <v>605000</v>
      </c>
    </row>
    <row r="141" spans="1:11" ht="12.75" customHeight="1">
      <c r="A141" s="18"/>
      <c r="B141" s="19" t="s">
        <v>234</v>
      </c>
      <c r="C141" s="20"/>
      <c r="D141" s="20"/>
      <c r="E141" s="11"/>
      <c r="F141" s="20"/>
      <c r="G141" s="20"/>
      <c r="H141" s="11"/>
      <c r="I141" s="11"/>
      <c r="J141" s="11"/>
      <c r="K141" s="11"/>
    </row>
    <row r="142" spans="1:11" ht="12.75" customHeight="1">
      <c r="A142" s="21"/>
      <c r="B142" s="22" t="s">
        <v>235</v>
      </c>
      <c r="C142" s="23">
        <v>0</v>
      </c>
      <c r="D142" s="23">
        <v>0</v>
      </c>
      <c r="E142" s="13">
        <f aca="true" t="shared" si="44" ref="E142:E147">SUM(C142:D142)</f>
        <v>0</v>
      </c>
      <c r="F142" s="23">
        <v>0</v>
      </c>
      <c r="G142" s="23">
        <v>0</v>
      </c>
      <c r="H142" s="13">
        <f aca="true" t="shared" si="45" ref="H142:H147">F142+G142</f>
        <v>0</v>
      </c>
      <c r="I142" s="13">
        <f>C142+F142</f>
        <v>0</v>
      </c>
      <c r="J142" s="13">
        <f>D142+G142</f>
        <v>0</v>
      </c>
      <c r="K142" s="13">
        <f>E142+H142</f>
        <v>0</v>
      </c>
    </row>
    <row r="143" spans="1:11" ht="12.75" customHeight="1">
      <c r="A143" s="32">
        <v>85305</v>
      </c>
      <c r="B143" s="33" t="s">
        <v>236</v>
      </c>
      <c r="C143" s="34">
        <v>575000</v>
      </c>
      <c r="D143" s="34">
        <v>0</v>
      </c>
      <c r="E143" s="27">
        <f t="shared" si="44"/>
        <v>575000</v>
      </c>
      <c r="F143" s="34">
        <f>SUM(F144:F147)</f>
        <v>0</v>
      </c>
      <c r="G143" s="34">
        <v>0</v>
      </c>
      <c r="H143" s="27">
        <f t="shared" si="45"/>
        <v>0</v>
      </c>
      <c r="I143" s="27">
        <f aca="true" t="shared" si="46" ref="I143:I148">C143+F143</f>
        <v>575000</v>
      </c>
      <c r="J143" s="27">
        <f aca="true" t="shared" si="47" ref="J143:J148">D143+G143</f>
        <v>0</v>
      </c>
      <c r="K143" s="27">
        <f>SUM(E143+H143)</f>
        <v>575000</v>
      </c>
    </row>
    <row r="144" spans="1:11" ht="12.75" customHeight="1">
      <c r="A144" s="35" t="s">
        <v>237</v>
      </c>
      <c r="B144" s="36" t="s">
        <v>238</v>
      </c>
      <c r="C144" s="37">
        <v>31000</v>
      </c>
      <c r="D144" s="37">
        <v>0</v>
      </c>
      <c r="E144" s="31">
        <f t="shared" si="44"/>
        <v>31000</v>
      </c>
      <c r="F144" s="37">
        <v>-322</v>
      </c>
      <c r="G144" s="37">
        <v>0</v>
      </c>
      <c r="H144" s="31">
        <f t="shared" si="45"/>
        <v>-322</v>
      </c>
      <c r="I144" s="31">
        <f t="shared" si="46"/>
        <v>30678</v>
      </c>
      <c r="J144" s="31">
        <f t="shared" si="47"/>
        <v>0</v>
      </c>
      <c r="K144" s="31">
        <f>E144+H144</f>
        <v>30678</v>
      </c>
    </row>
    <row r="145" spans="1:11" ht="12.75" customHeight="1">
      <c r="A145" s="35" t="s">
        <v>239</v>
      </c>
      <c r="B145" s="36" t="s">
        <v>240</v>
      </c>
      <c r="C145" s="37">
        <v>6500</v>
      </c>
      <c r="D145" s="37">
        <v>0</v>
      </c>
      <c r="E145" s="31">
        <f t="shared" si="44"/>
        <v>6500</v>
      </c>
      <c r="F145" s="37">
        <v>1205</v>
      </c>
      <c r="G145" s="37">
        <v>0</v>
      </c>
      <c r="H145" s="31">
        <f t="shared" si="45"/>
        <v>1205</v>
      </c>
      <c r="I145" s="31">
        <f t="shared" si="46"/>
        <v>7705</v>
      </c>
      <c r="J145" s="31">
        <f t="shared" si="47"/>
        <v>0</v>
      </c>
      <c r="K145" s="31">
        <f>E145+H145</f>
        <v>7705</v>
      </c>
    </row>
    <row r="146" spans="1:11" ht="12.75" customHeight="1">
      <c r="A146" s="35" t="s">
        <v>241</v>
      </c>
      <c r="B146" s="36" t="s">
        <v>242</v>
      </c>
      <c r="C146" s="37">
        <v>1000</v>
      </c>
      <c r="D146" s="37">
        <v>0</v>
      </c>
      <c r="E146" s="31">
        <f t="shared" si="44"/>
        <v>1000</v>
      </c>
      <c r="F146" s="37">
        <v>-279</v>
      </c>
      <c r="G146" s="37">
        <v>0</v>
      </c>
      <c r="H146" s="31">
        <f t="shared" si="45"/>
        <v>-279</v>
      </c>
      <c r="I146" s="31">
        <f t="shared" si="46"/>
        <v>721</v>
      </c>
      <c r="J146" s="31">
        <f t="shared" si="47"/>
        <v>0</v>
      </c>
      <c r="K146" s="31">
        <f>E146+H146</f>
        <v>721</v>
      </c>
    </row>
    <row r="147" spans="1:11" ht="12.75" customHeight="1">
      <c r="A147" s="35" t="s">
        <v>243</v>
      </c>
      <c r="B147" s="36" t="s">
        <v>244</v>
      </c>
      <c r="C147" s="37">
        <v>7000</v>
      </c>
      <c r="D147" s="37">
        <v>0</v>
      </c>
      <c r="E147" s="31">
        <f t="shared" si="44"/>
        <v>7000</v>
      </c>
      <c r="F147" s="37">
        <v>-604</v>
      </c>
      <c r="G147" s="37">
        <v>0</v>
      </c>
      <c r="H147" s="31">
        <f t="shared" si="45"/>
        <v>-604</v>
      </c>
      <c r="I147" s="31">
        <f t="shared" si="46"/>
        <v>6396</v>
      </c>
      <c r="J147" s="31">
        <f t="shared" si="47"/>
        <v>0</v>
      </c>
      <c r="K147" s="31">
        <f>E147+H147</f>
        <v>6396</v>
      </c>
    </row>
    <row r="148" spans="1:11" s="46" customFormat="1" ht="12.75" customHeight="1">
      <c r="A148" s="6" t="s">
        <v>245</v>
      </c>
      <c r="B148" s="16" t="s">
        <v>246</v>
      </c>
      <c r="C148" s="17">
        <v>2005480</v>
      </c>
      <c r="D148" s="17">
        <v>0</v>
      </c>
      <c r="E148" s="9">
        <f>SUM(C148:D148)</f>
        <v>2005480</v>
      </c>
      <c r="F148" s="17">
        <f>F151</f>
        <v>-30244</v>
      </c>
      <c r="G148" s="17">
        <v>0</v>
      </c>
      <c r="H148" s="9">
        <f>F148+G148</f>
        <v>-30244</v>
      </c>
      <c r="I148" s="9">
        <f t="shared" si="46"/>
        <v>1975236</v>
      </c>
      <c r="J148" s="9">
        <f t="shared" si="47"/>
        <v>0</v>
      </c>
      <c r="K148" s="9">
        <f>E148+H148</f>
        <v>1975236</v>
      </c>
    </row>
    <row r="149" spans="1:11" ht="12.75" customHeight="1">
      <c r="A149" s="18"/>
      <c r="B149" s="19" t="s">
        <v>247</v>
      </c>
      <c r="C149" s="20"/>
      <c r="D149" s="20"/>
      <c r="E149" s="11"/>
      <c r="F149" s="20"/>
      <c r="G149" s="20"/>
      <c r="H149" s="11"/>
      <c r="I149" s="11"/>
      <c r="J149" s="11"/>
      <c r="K149" s="11"/>
    </row>
    <row r="150" spans="1:11" ht="12.75" customHeight="1">
      <c r="A150" s="21"/>
      <c r="B150" s="22" t="s">
        <v>248</v>
      </c>
      <c r="C150" s="23">
        <v>0</v>
      </c>
      <c r="D150" s="23">
        <v>0</v>
      </c>
      <c r="E150" s="13">
        <f aca="true" t="shared" si="48" ref="E150:E155">SUM(C150:D150)</f>
        <v>0</v>
      </c>
      <c r="F150" s="23">
        <v>0</v>
      </c>
      <c r="G150" s="23">
        <v>0</v>
      </c>
      <c r="H150" s="13">
        <f aca="true" t="shared" si="49" ref="H150:H155">F150+G150</f>
        <v>0</v>
      </c>
      <c r="I150" s="13">
        <f>C150+F150</f>
        <v>0</v>
      </c>
      <c r="J150" s="13">
        <f>D150+G150</f>
        <v>0</v>
      </c>
      <c r="K150" s="13">
        <f>E150+H150</f>
        <v>0</v>
      </c>
    </row>
    <row r="151" spans="1:11" ht="12.75" customHeight="1">
      <c r="A151" s="32">
        <v>85401</v>
      </c>
      <c r="B151" s="33" t="s">
        <v>249</v>
      </c>
      <c r="C151" s="34">
        <v>2005480</v>
      </c>
      <c r="D151" s="34">
        <v>0</v>
      </c>
      <c r="E151" s="27">
        <f t="shared" si="48"/>
        <v>2005480</v>
      </c>
      <c r="F151" s="34">
        <f>SUM(F152:F154)</f>
        <v>-30244</v>
      </c>
      <c r="G151" s="34">
        <v>0</v>
      </c>
      <c r="H151" s="27">
        <f t="shared" si="49"/>
        <v>-30244</v>
      </c>
      <c r="I151" s="27">
        <f aca="true" t="shared" si="50" ref="I151:J154">C151+F151</f>
        <v>1975236</v>
      </c>
      <c r="J151" s="27">
        <f t="shared" si="50"/>
        <v>0</v>
      </c>
      <c r="K151" s="27">
        <f>SUM(E151+H151)</f>
        <v>1975236</v>
      </c>
    </row>
    <row r="152" spans="1:11" ht="12.75" customHeight="1">
      <c r="A152" s="35" t="s">
        <v>250</v>
      </c>
      <c r="B152" s="36" t="s">
        <v>251</v>
      </c>
      <c r="C152" s="37">
        <v>1499250</v>
      </c>
      <c r="D152" s="37">
        <v>0</v>
      </c>
      <c r="E152" s="31">
        <f t="shared" si="48"/>
        <v>1499250</v>
      </c>
      <c r="F152" s="37">
        <f>747+767+89+908+243-9000+734+424+2024+3412-7000-10000+2436</f>
        <v>-14216</v>
      </c>
      <c r="G152" s="37">
        <v>0</v>
      </c>
      <c r="H152" s="31">
        <f t="shared" si="49"/>
        <v>-14216</v>
      </c>
      <c r="I152" s="31">
        <f t="shared" si="50"/>
        <v>1485034</v>
      </c>
      <c r="J152" s="31">
        <f t="shared" si="50"/>
        <v>0</v>
      </c>
      <c r="K152" s="31">
        <f>E152+H152</f>
        <v>1485034</v>
      </c>
    </row>
    <row r="153" spans="1:11" ht="12.75" customHeight="1">
      <c r="A153" s="35" t="s">
        <v>252</v>
      </c>
      <c r="B153" s="36" t="s">
        <v>253</v>
      </c>
      <c r="C153" s="37">
        <v>129500</v>
      </c>
      <c r="D153" s="37">
        <v>0</v>
      </c>
      <c r="E153" s="31">
        <f t="shared" si="48"/>
        <v>129500</v>
      </c>
      <c r="F153" s="37">
        <f>-747-864-767-89-908-243+488-129-734-424-2024-3412-457-658-2436</f>
        <v>-13404</v>
      </c>
      <c r="G153" s="37">
        <v>0</v>
      </c>
      <c r="H153" s="31">
        <f t="shared" si="49"/>
        <v>-13404</v>
      </c>
      <c r="I153" s="31">
        <f t="shared" si="50"/>
        <v>116096</v>
      </c>
      <c r="J153" s="31">
        <f t="shared" si="50"/>
        <v>0</v>
      </c>
      <c r="K153" s="31">
        <f>E153+H153</f>
        <v>116096</v>
      </c>
    </row>
    <row r="154" spans="1:11" ht="12.75" customHeight="1">
      <c r="A154" s="35" t="s">
        <v>254</v>
      </c>
      <c r="B154" s="36" t="s">
        <v>255</v>
      </c>
      <c r="C154" s="37">
        <v>283790</v>
      </c>
      <c r="D154" s="37">
        <v>0</v>
      </c>
      <c r="E154" s="31">
        <f t="shared" si="48"/>
        <v>283790</v>
      </c>
      <c r="F154" s="37">
        <f>864-488-1000-2000</f>
        <v>-2624</v>
      </c>
      <c r="G154" s="37">
        <v>0</v>
      </c>
      <c r="H154" s="31">
        <f t="shared" si="49"/>
        <v>-2624</v>
      </c>
      <c r="I154" s="31">
        <f t="shared" si="50"/>
        <v>281166</v>
      </c>
      <c r="J154" s="31">
        <f t="shared" si="50"/>
        <v>0</v>
      </c>
      <c r="K154" s="31">
        <f>E154+H154</f>
        <v>281166</v>
      </c>
    </row>
    <row r="155" spans="1:11" ht="12.75" customHeight="1">
      <c r="A155" s="6" t="s">
        <v>256</v>
      </c>
      <c r="B155" s="16" t="s">
        <v>257</v>
      </c>
      <c r="C155" s="17">
        <v>7675249</v>
      </c>
      <c r="D155" s="17">
        <v>687320</v>
      </c>
      <c r="E155" s="9">
        <f t="shared" si="48"/>
        <v>8362569</v>
      </c>
      <c r="F155" s="17">
        <f>F158+F163</f>
        <v>634650</v>
      </c>
      <c r="G155" s="17">
        <f>G161</f>
        <v>-102820</v>
      </c>
      <c r="H155" s="9">
        <f t="shared" si="49"/>
        <v>531830</v>
      </c>
      <c r="I155" s="9">
        <f>C155+F155</f>
        <v>8309899</v>
      </c>
      <c r="J155" s="9">
        <f>D155+G155</f>
        <v>584500</v>
      </c>
      <c r="K155" s="9">
        <f>E155+H155</f>
        <v>8894399</v>
      </c>
    </row>
    <row r="156" spans="1:11" ht="12.75" customHeight="1">
      <c r="A156" s="18"/>
      <c r="B156" s="19" t="s">
        <v>258</v>
      </c>
      <c r="C156" s="20"/>
      <c r="D156" s="20"/>
      <c r="E156" s="11"/>
      <c r="F156" s="20"/>
      <c r="G156" s="20"/>
      <c r="H156" s="11"/>
      <c r="I156" s="11"/>
      <c r="J156" s="11"/>
      <c r="K156" s="11"/>
    </row>
    <row r="157" spans="1:11" ht="12.75" customHeight="1">
      <c r="A157" s="21"/>
      <c r="B157" s="22" t="s">
        <v>259</v>
      </c>
      <c r="C157" s="23">
        <v>2485089</v>
      </c>
      <c r="D157" s="23">
        <v>564500</v>
      </c>
      <c r="E157" s="13">
        <f aca="true" t="shared" si="51" ref="E157:E164">SUM(C157:D157)</f>
        <v>3049589</v>
      </c>
      <c r="F157" s="23">
        <f>F160+F169+F170</f>
        <v>366692</v>
      </c>
      <c r="G157" s="23">
        <v>0</v>
      </c>
      <c r="H157" s="13">
        <f aca="true" t="shared" si="52" ref="H157:H166">F157+G157</f>
        <v>366692</v>
      </c>
      <c r="I157" s="13">
        <f aca="true" t="shared" si="53" ref="I157:K171">C157+F157</f>
        <v>2851781</v>
      </c>
      <c r="J157" s="13">
        <f t="shared" si="53"/>
        <v>564500</v>
      </c>
      <c r="K157" s="13">
        <f t="shared" si="53"/>
        <v>3416281</v>
      </c>
    </row>
    <row r="158" spans="1:11" ht="12.75" customHeight="1">
      <c r="A158" s="32">
        <v>90001</v>
      </c>
      <c r="B158" s="33" t="s">
        <v>260</v>
      </c>
      <c r="C158" s="26">
        <v>214000</v>
      </c>
      <c r="D158" s="26">
        <v>60000</v>
      </c>
      <c r="E158" s="27">
        <f>SUM(C158:D158)</f>
        <v>274000</v>
      </c>
      <c r="F158" s="34">
        <f>SUM(F159:F160)</f>
        <v>169000</v>
      </c>
      <c r="G158" s="34">
        <f>G160</f>
        <v>0</v>
      </c>
      <c r="H158" s="27">
        <f>F158+G158</f>
        <v>169000</v>
      </c>
      <c r="I158" s="27">
        <f aca="true" t="shared" si="54" ref="I158:K160">C158+F158</f>
        <v>383000</v>
      </c>
      <c r="J158" s="27">
        <f t="shared" si="54"/>
        <v>60000</v>
      </c>
      <c r="K158" s="27">
        <f t="shared" si="54"/>
        <v>443000</v>
      </c>
    </row>
    <row r="159" spans="1:11" ht="12.75" customHeight="1">
      <c r="A159" s="35" t="s">
        <v>261</v>
      </c>
      <c r="B159" s="36" t="s">
        <v>262</v>
      </c>
      <c r="C159" s="30">
        <v>154000</v>
      </c>
      <c r="D159" s="30">
        <v>0</v>
      </c>
      <c r="E159" s="31">
        <f>SUM(C159:D159)</f>
        <v>154000</v>
      </c>
      <c r="F159" s="37">
        <f>104000+25000</f>
        <v>129000</v>
      </c>
      <c r="G159" s="37">
        <v>0</v>
      </c>
      <c r="H159" s="31">
        <f>F159+G159</f>
        <v>129000</v>
      </c>
      <c r="I159" s="31">
        <f>C159+F159</f>
        <v>283000</v>
      </c>
      <c r="J159" s="31">
        <f>D159+G159</f>
        <v>0</v>
      </c>
      <c r="K159" s="31">
        <f>E159+H159</f>
        <v>283000</v>
      </c>
    </row>
    <row r="160" spans="1:11" ht="12.75" customHeight="1">
      <c r="A160" s="35" t="s">
        <v>263</v>
      </c>
      <c r="B160" s="36" t="s">
        <v>264</v>
      </c>
      <c r="C160" s="30">
        <v>60000</v>
      </c>
      <c r="D160" s="30">
        <v>60000</v>
      </c>
      <c r="E160" s="31">
        <f>SUM(C160:D160)</f>
        <v>120000</v>
      </c>
      <c r="F160" s="37">
        <v>40000</v>
      </c>
      <c r="G160" s="37">
        <v>0</v>
      </c>
      <c r="H160" s="31">
        <f>F160+G160</f>
        <v>40000</v>
      </c>
      <c r="I160" s="31">
        <f t="shared" si="54"/>
        <v>100000</v>
      </c>
      <c r="J160" s="31">
        <f t="shared" si="54"/>
        <v>60000</v>
      </c>
      <c r="K160" s="31">
        <f t="shared" si="54"/>
        <v>160000</v>
      </c>
    </row>
    <row r="161" spans="1:11" ht="12.75" customHeight="1">
      <c r="A161" s="32">
        <v>90015</v>
      </c>
      <c r="B161" s="33" t="s">
        <v>265</v>
      </c>
      <c r="C161" s="26">
        <v>1950000</v>
      </c>
      <c r="D161" s="26">
        <v>102820</v>
      </c>
      <c r="E161" s="27">
        <f t="shared" si="51"/>
        <v>2052820</v>
      </c>
      <c r="F161" s="34">
        <f>SUM(F162:F162)</f>
        <v>0</v>
      </c>
      <c r="G161" s="34">
        <f>G162</f>
        <v>-102820</v>
      </c>
      <c r="H161" s="27">
        <f t="shared" si="52"/>
        <v>-102820</v>
      </c>
      <c r="I161" s="27">
        <f t="shared" si="53"/>
        <v>1950000</v>
      </c>
      <c r="J161" s="27">
        <f t="shared" si="53"/>
        <v>0</v>
      </c>
      <c r="K161" s="27">
        <f t="shared" si="53"/>
        <v>1950000</v>
      </c>
    </row>
    <row r="162" spans="1:11" ht="12.75" customHeight="1">
      <c r="A162" s="35" t="s">
        <v>266</v>
      </c>
      <c r="B162" s="36" t="s">
        <v>267</v>
      </c>
      <c r="C162" s="30">
        <v>700000</v>
      </c>
      <c r="D162" s="30">
        <v>102820</v>
      </c>
      <c r="E162" s="31">
        <f t="shared" si="51"/>
        <v>802820</v>
      </c>
      <c r="F162" s="37">
        <v>0</v>
      </c>
      <c r="G162" s="37">
        <v>-102820</v>
      </c>
      <c r="H162" s="31">
        <f t="shared" si="52"/>
        <v>-102820</v>
      </c>
      <c r="I162" s="31">
        <f t="shared" si="53"/>
        <v>700000</v>
      </c>
      <c r="J162" s="31">
        <f t="shared" si="53"/>
        <v>0</v>
      </c>
      <c r="K162" s="31">
        <f t="shared" si="53"/>
        <v>700000</v>
      </c>
    </row>
    <row r="163" spans="1:11" ht="12.75" customHeight="1">
      <c r="A163" s="32">
        <v>90095</v>
      </c>
      <c r="B163" s="33" t="s">
        <v>268</v>
      </c>
      <c r="C163" s="26">
        <v>4282249</v>
      </c>
      <c r="D163" s="26">
        <v>224500</v>
      </c>
      <c r="E163" s="27">
        <f t="shared" si="51"/>
        <v>4506749</v>
      </c>
      <c r="F163" s="34">
        <f>SUM(F164:F170)</f>
        <v>465650</v>
      </c>
      <c r="G163" s="34">
        <v>0</v>
      </c>
      <c r="H163" s="27">
        <f t="shared" si="52"/>
        <v>465650</v>
      </c>
      <c r="I163" s="27">
        <f t="shared" si="53"/>
        <v>4747899</v>
      </c>
      <c r="J163" s="27">
        <f t="shared" si="53"/>
        <v>224500</v>
      </c>
      <c r="K163" s="27">
        <f t="shared" si="53"/>
        <v>4972399</v>
      </c>
    </row>
    <row r="164" spans="1:11" ht="12.75" customHeight="1">
      <c r="A164" s="35" t="s">
        <v>269</v>
      </c>
      <c r="B164" s="36" t="s">
        <v>270</v>
      </c>
      <c r="C164" s="30">
        <v>0</v>
      </c>
      <c r="D164" s="30">
        <v>0</v>
      </c>
      <c r="E164" s="31">
        <f>SUM(C164:D164)</f>
        <v>0</v>
      </c>
      <c r="F164" s="37">
        <v>9000</v>
      </c>
      <c r="G164" s="37">
        <v>0</v>
      </c>
      <c r="H164" s="31">
        <f t="shared" si="52"/>
        <v>9000</v>
      </c>
      <c r="I164" s="31">
        <f t="shared" si="53"/>
        <v>9000</v>
      </c>
      <c r="J164" s="31">
        <f t="shared" si="53"/>
        <v>0</v>
      </c>
      <c r="K164" s="31">
        <f t="shared" si="53"/>
        <v>9000</v>
      </c>
    </row>
    <row r="165" spans="1:11" ht="12.75" customHeight="1">
      <c r="A165" s="35" t="s">
        <v>271</v>
      </c>
      <c r="B165" s="36" t="s">
        <v>272</v>
      </c>
      <c r="C165" s="30">
        <v>0</v>
      </c>
      <c r="D165" s="30">
        <v>0</v>
      </c>
      <c r="E165" s="31">
        <f>SUM(C165:D165)</f>
        <v>0</v>
      </c>
      <c r="F165" s="37">
        <v>1500</v>
      </c>
      <c r="G165" s="37">
        <v>0</v>
      </c>
      <c r="H165" s="31">
        <f t="shared" si="52"/>
        <v>1500</v>
      </c>
      <c r="I165" s="31">
        <f t="shared" si="53"/>
        <v>1500</v>
      </c>
      <c r="J165" s="31">
        <f t="shared" si="53"/>
        <v>0</v>
      </c>
      <c r="K165" s="31">
        <f t="shared" si="53"/>
        <v>1500</v>
      </c>
    </row>
    <row r="166" spans="1:11" ht="12.75" customHeight="1">
      <c r="A166" s="35" t="s">
        <v>273</v>
      </c>
      <c r="B166" s="36" t="s">
        <v>274</v>
      </c>
      <c r="C166" s="30">
        <v>20000</v>
      </c>
      <c r="D166" s="30">
        <v>0</v>
      </c>
      <c r="E166" s="31">
        <f>SUM(C166:D166)</f>
        <v>20000</v>
      </c>
      <c r="F166" s="37">
        <v>50000</v>
      </c>
      <c r="G166" s="37">
        <v>0</v>
      </c>
      <c r="H166" s="31">
        <f>F166+G166</f>
        <v>50000</v>
      </c>
      <c r="I166" s="31">
        <f t="shared" si="53"/>
        <v>70000</v>
      </c>
      <c r="J166" s="31">
        <f t="shared" si="53"/>
        <v>0</v>
      </c>
      <c r="K166" s="31">
        <f t="shared" si="53"/>
        <v>70000</v>
      </c>
    </row>
    <row r="167" spans="1:11" ht="12.75" customHeight="1">
      <c r="A167" s="35" t="s">
        <v>275</v>
      </c>
      <c r="B167" s="36" t="s">
        <v>276</v>
      </c>
      <c r="C167" s="30">
        <v>1385160</v>
      </c>
      <c r="D167" s="30">
        <v>20000</v>
      </c>
      <c r="E167" s="31">
        <f t="shared" si="51"/>
        <v>1405160</v>
      </c>
      <c r="F167" s="37">
        <f>-13042-10500+87800</f>
        <v>64258</v>
      </c>
      <c r="G167" s="37">
        <v>0</v>
      </c>
      <c r="H167" s="31">
        <f t="shared" si="52"/>
        <v>64258</v>
      </c>
      <c r="I167" s="31">
        <f aca="true" t="shared" si="55" ref="I167:K169">C167+F167</f>
        <v>1449418</v>
      </c>
      <c r="J167" s="31">
        <f t="shared" si="55"/>
        <v>20000</v>
      </c>
      <c r="K167" s="31">
        <f t="shared" si="55"/>
        <v>1469418</v>
      </c>
    </row>
    <row r="168" spans="1:11" ht="12.75" customHeight="1">
      <c r="A168" s="35" t="s">
        <v>277</v>
      </c>
      <c r="B168" s="36" t="s">
        <v>278</v>
      </c>
      <c r="C168" s="30">
        <v>30000</v>
      </c>
      <c r="D168" s="30">
        <v>0</v>
      </c>
      <c r="E168" s="31">
        <f>SUM(C168:D168)</f>
        <v>30000</v>
      </c>
      <c r="F168" s="37">
        <v>14200</v>
      </c>
      <c r="G168" s="37">
        <v>0</v>
      </c>
      <c r="H168" s="31">
        <f>F168+G168</f>
        <v>14200</v>
      </c>
      <c r="I168" s="31">
        <f>C168+F168</f>
        <v>44200</v>
      </c>
      <c r="J168" s="31">
        <f>D168+G168</f>
        <v>0</v>
      </c>
      <c r="K168" s="31">
        <f>E168+H168</f>
        <v>44200</v>
      </c>
    </row>
    <row r="169" spans="1:11" ht="12.75" customHeight="1">
      <c r="A169" s="35" t="s">
        <v>279</v>
      </c>
      <c r="B169" s="36" t="s">
        <v>280</v>
      </c>
      <c r="C169" s="30">
        <v>2175089</v>
      </c>
      <c r="D169" s="30">
        <v>204500</v>
      </c>
      <c r="E169" s="31">
        <f t="shared" si="51"/>
        <v>2379589</v>
      </c>
      <c r="F169" s="37">
        <f>279000+6000+38650-10000</f>
        <v>313650</v>
      </c>
      <c r="G169" s="37">
        <v>0</v>
      </c>
      <c r="H169" s="31">
        <f t="shared" si="52"/>
        <v>313650</v>
      </c>
      <c r="I169" s="31">
        <f t="shared" si="55"/>
        <v>2488739</v>
      </c>
      <c r="J169" s="31">
        <f t="shared" si="55"/>
        <v>204500</v>
      </c>
      <c r="K169" s="31">
        <f t="shared" si="55"/>
        <v>2693239</v>
      </c>
    </row>
    <row r="170" spans="1:11" ht="12.75" customHeight="1">
      <c r="A170" s="35" t="s">
        <v>281</v>
      </c>
      <c r="B170" s="36" t="s">
        <v>282</v>
      </c>
      <c r="C170" s="30">
        <v>100000</v>
      </c>
      <c r="D170" s="30">
        <v>0</v>
      </c>
      <c r="E170" s="31">
        <f t="shared" si="51"/>
        <v>100000</v>
      </c>
      <c r="F170" s="37">
        <v>13042</v>
      </c>
      <c r="G170" s="37">
        <v>0</v>
      </c>
      <c r="H170" s="31">
        <f t="shared" si="52"/>
        <v>13042</v>
      </c>
      <c r="I170" s="31">
        <f t="shared" si="53"/>
        <v>113042</v>
      </c>
      <c r="J170" s="31">
        <f t="shared" si="53"/>
        <v>0</v>
      </c>
      <c r="K170" s="31">
        <f t="shared" si="53"/>
        <v>113042</v>
      </c>
    </row>
    <row r="171" spans="1:11" ht="12.75" customHeight="1">
      <c r="A171" s="6" t="s">
        <v>283</v>
      </c>
      <c r="B171" s="16" t="s">
        <v>284</v>
      </c>
      <c r="C171" s="17">
        <v>1233062</v>
      </c>
      <c r="D171" s="17">
        <v>0</v>
      </c>
      <c r="E171" s="9">
        <f t="shared" si="51"/>
        <v>1233062</v>
      </c>
      <c r="F171" s="17">
        <f>F174+F176+F178</f>
        <v>5000</v>
      </c>
      <c r="G171" s="17">
        <v>0</v>
      </c>
      <c r="H171" s="9">
        <f t="shared" si="52"/>
        <v>5000</v>
      </c>
      <c r="I171" s="9">
        <f t="shared" si="53"/>
        <v>1238062</v>
      </c>
      <c r="J171" s="9">
        <f t="shared" si="53"/>
        <v>0</v>
      </c>
      <c r="K171" s="9">
        <f t="shared" si="53"/>
        <v>1238062</v>
      </c>
    </row>
    <row r="172" spans="1:11" ht="12.75" customHeight="1">
      <c r="A172" s="18"/>
      <c r="B172" s="19" t="s">
        <v>285</v>
      </c>
      <c r="C172" s="20"/>
      <c r="D172" s="20"/>
      <c r="E172" s="11"/>
      <c r="F172" s="20"/>
      <c r="G172" s="20"/>
      <c r="H172" s="11"/>
      <c r="I172" s="11"/>
      <c r="J172" s="11"/>
      <c r="K172" s="11"/>
    </row>
    <row r="173" spans="1:11" ht="12.75" customHeight="1">
      <c r="A173" s="21"/>
      <c r="B173" s="22" t="s">
        <v>286</v>
      </c>
      <c r="C173" s="23">
        <v>25000</v>
      </c>
      <c r="D173" s="23">
        <v>0</v>
      </c>
      <c r="E173" s="13">
        <f aca="true" t="shared" si="56" ref="E173:E178">SUM(C173:D173)</f>
        <v>25000</v>
      </c>
      <c r="F173" s="23">
        <v>0</v>
      </c>
      <c r="G173" s="23">
        <v>0</v>
      </c>
      <c r="H173" s="13">
        <f aca="true" t="shared" si="57" ref="H173:H178">F173+G173</f>
        <v>0</v>
      </c>
      <c r="I173" s="13">
        <f aca="true" t="shared" si="58" ref="I173:K180">C173+F173</f>
        <v>25000</v>
      </c>
      <c r="J173" s="13">
        <f t="shared" si="58"/>
        <v>0</v>
      </c>
      <c r="K173" s="13">
        <f t="shared" si="58"/>
        <v>25000</v>
      </c>
    </row>
    <row r="174" spans="1:11" ht="12.75" customHeight="1">
      <c r="A174" s="32">
        <v>92105</v>
      </c>
      <c r="B174" s="33" t="s">
        <v>287</v>
      </c>
      <c r="C174" s="26">
        <v>195000</v>
      </c>
      <c r="D174" s="26">
        <v>0</v>
      </c>
      <c r="E174" s="27">
        <f>SUM(C174:D174)</f>
        <v>195000</v>
      </c>
      <c r="F174" s="34">
        <f>SUM(F175:F175)</f>
        <v>-15900</v>
      </c>
      <c r="G174" s="34">
        <v>0</v>
      </c>
      <c r="H174" s="27">
        <f>F174+G174</f>
        <v>-15900</v>
      </c>
      <c r="I174" s="27">
        <f t="shared" si="58"/>
        <v>179100</v>
      </c>
      <c r="J174" s="27">
        <f t="shared" si="58"/>
        <v>0</v>
      </c>
      <c r="K174" s="27">
        <f t="shared" si="58"/>
        <v>179100</v>
      </c>
    </row>
    <row r="175" spans="1:11" ht="12.75" customHeight="1">
      <c r="A175" s="35" t="s">
        <v>288</v>
      </c>
      <c r="B175" s="36" t="s">
        <v>289</v>
      </c>
      <c r="C175" s="30">
        <v>170000</v>
      </c>
      <c r="D175" s="30">
        <v>0</v>
      </c>
      <c r="E175" s="31">
        <f>SUM(C175:D175)</f>
        <v>170000</v>
      </c>
      <c r="F175" s="37">
        <v>-15900</v>
      </c>
      <c r="G175" s="37">
        <v>0</v>
      </c>
      <c r="H175" s="31">
        <f>F175+G175</f>
        <v>-15900</v>
      </c>
      <c r="I175" s="31">
        <f>C175+F175</f>
        <v>154100</v>
      </c>
      <c r="J175" s="31">
        <f>D175+G175</f>
        <v>0</v>
      </c>
      <c r="K175" s="31">
        <f>E175+H175</f>
        <v>154100</v>
      </c>
    </row>
    <row r="176" spans="1:11" ht="12.75" customHeight="1">
      <c r="A176" s="32">
        <v>92109</v>
      </c>
      <c r="B176" s="33" t="s">
        <v>290</v>
      </c>
      <c r="C176" s="26">
        <v>793800</v>
      </c>
      <c r="D176" s="26">
        <v>0</v>
      </c>
      <c r="E176" s="27">
        <f t="shared" si="56"/>
        <v>793800</v>
      </c>
      <c r="F176" s="34">
        <f>SUM(F177:F177)</f>
        <v>10900</v>
      </c>
      <c r="G176" s="34">
        <v>0</v>
      </c>
      <c r="H176" s="27">
        <f t="shared" si="57"/>
        <v>10900</v>
      </c>
      <c r="I176" s="27">
        <f t="shared" si="58"/>
        <v>804700</v>
      </c>
      <c r="J176" s="27">
        <f t="shared" si="58"/>
        <v>0</v>
      </c>
      <c r="K176" s="27">
        <f t="shared" si="58"/>
        <v>804700</v>
      </c>
    </row>
    <row r="177" spans="1:11" ht="12.75" customHeight="1">
      <c r="A177" s="35" t="s">
        <v>291</v>
      </c>
      <c r="B177" s="36" t="s">
        <v>292</v>
      </c>
      <c r="C177" s="30">
        <v>793800</v>
      </c>
      <c r="D177" s="30">
        <v>0</v>
      </c>
      <c r="E177" s="31">
        <f t="shared" si="56"/>
        <v>793800</v>
      </c>
      <c r="F177" s="37">
        <v>10900</v>
      </c>
      <c r="G177" s="37">
        <v>0</v>
      </c>
      <c r="H177" s="31">
        <f t="shared" si="57"/>
        <v>10900</v>
      </c>
      <c r="I177" s="31">
        <f t="shared" si="58"/>
        <v>804700</v>
      </c>
      <c r="J177" s="31">
        <f t="shared" si="58"/>
        <v>0</v>
      </c>
      <c r="K177" s="31">
        <f t="shared" si="58"/>
        <v>804700</v>
      </c>
    </row>
    <row r="178" spans="1:11" ht="12.75" customHeight="1">
      <c r="A178" s="32">
        <v>92195</v>
      </c>
      <c r="B178" s="33" t="s">
        <v>293</v>
      </c>
      <c r="C178" s="26">
        <v>244262</v>
      </c>
      <c r="D178" s="26">
        <v>0</v>
      </c>
      <c r="E178" s="27">
        <f t="shared" si="56"/>
        <v>244262</v>
      </c>
      <c r="F178" s="34">
        <f>SUM(F179:F179)</f>
        <v>10000</v>
      </c>
      <c r="G178" s="34">
        <v>0</v>
      </c>
      <c r="H178" s="27">
        <f t="shared" si="57"/>
        <v>10000</v>
      </c>
      <c r="I178" s="27">
        <f t="shared" si="58"/>
        <v>254262</v>
      </c>
      <c r="J178" s="27">
        <f t="shared" si="58"/>
        <v>0</v>
      </c>
      <c r="K178" s="27">
        <f t="shared" si="58"/>
        <v>254262</v>
      </c>
    </row>
    <row r="179" spans="1:11" ht="12.75" customHeight="1">
      <c r="A179" s="35" t="s">
        <v>294</v>
      </c>
      <c r="B179" s="36" t="s">
        <v>295</v>
      </c>
      <c r="C179" s="30">
        <v>199262</v>
      </c>
      <c r="D179" s="30">
        <v>0</v>
      </c>
      <c r="E179" s="31">
        <f t="shared" si="56"/>
        <v>199262</v>
      </c>
      <c r="F179" s="37">
        <v>10000</v>
      </c>
      <c r="G179" s="37">
        <v>0</v>
      </c>
      <c r="H179" s="31">
        <f t="shared" si="57"/>
        <v>10000</v>
      </c>
      <c r="I179" s="31">
        <f>C179+F179</f>
        <v>209262</v>
      </c>
      <c r="J179" s="31">
        <f>D179+G179</f>
        <v>0</v>
      </c>
      <c r="K179" s="31">
        <f>E179+H179</f>
        <v>209262</v>
      </c>
    </row>
    <row r="180" spans="1:11" ht="12.75" customHeight="1">
      <c r="A180" s="6" t="s">
        <v>296</v>
      </c>
      <c r="B180" s="16" t="s">
        <v>297</v>
      </c>
      <c r="C180" s="17">
        <v>3468100</v>
      </c>
      <c r="D180" s="17">
        <v>800000</v>
      </c>
      <c r="E180" s="9">
        <f t="shared" si="56"/>
        <v>4268100</v>
      </c>
      <c r="F180" s="17">
        <f>F184+F187+F189</f>
        <v>-195000</v>
      </c>
      <c r="G180" s="17">
        <f>G189</f>
        <v>-800000</v>
      </c>
      <c r="H180" s="9">
        <f t="shared" si="57"/>
        <v>-995000</v>
      </c>
      <c r="I180" s="9">
        <f t="shared" si="58"/>
        <v>3273100</v>
      </c>
      <c r="J180" s="9">
        <f t="shared" si="58"/>
        <v>0</v>
      </c>
      <c r="K180" s="9">
        <f t="shared" si="58"/>
        <v>3273100</v>
      </c>
    </row>
    <row r="181" spans="1:11" ht="12.75" customHeight="1">
      <c r="A181" s="18"/>
      <c r="B181" s="19" t="s">
        <v>298</v>
      </c>
      <c r="C181" s="20"/>
      <c r="D181" s="20"/>
      <c r="E181" s="11"/>
      <c r="F181" s="20"/>
      <c r="G181" s="20"/>
      <c r="H181" s="11"/>
      <c r="I181" s="11"/>
      <c r="J181" s="11"/>
      <c r="K181" s="11"/>
    </row>
    <row r="182" spans="1:11" ht="12.75" customHeight="1">
      <c r="A182" s="18"/>
      <c r="B182" s="19" t="s">
        <v>299</v>
      </c>
      <c r="C182" s="20">
        <v>450000</v>
      </c>
      <c r="D182" s="20">
        <v>800000</v>
      </c>
      <c r="E182" s="11">
        <f aca="true" t="shared" si="59" ref="E182:E189">SUM(C182:D182)</f>
        <v>1250000</v>
      </c>
      <c r="F182" s="20">
        <f>F190</f>
        <v>-200000</v>
      </c>
      <c r="G182" s="20">
        <f>G189</f>
        <v>-800000</v>
      </c>
      <c r="H182" s="11">
        <f aca="true" t="shared" si="60" ref="H182:H189">F182+G182</f>
        <v>-1000000</v>
      </c>
      <c r="I182" s="11">
        <f aca="true" t="shared" si="61" ref="I182:K190">C182+F182</f>
        <v>250000</v>
      </c>
      <c r="J182" s="11">
        <f t="shared" si="61"/>
        <v>0</v>
      </c>
      <c r="K182" s="11">
        <f t="shared" si="61"/>
        <v>250000</v>
      </c>
    </row>
    <row r="183" spans="1:11" s="50" customFormat="1" ht="13.5" customHeight="1">
      <c r="A183" s="5"/>
      <c r="B183" s="47"/>
      <c r="C183" s="48"/>
      <c r="D183" s="48"/>
      <c r="E183" s="49"/>
      <c r="F183" s="48"/>
      <c r="G183" s="48"/>
      <c r="H183" s="49"/>
      <c r="I183" s="49"/>
      <c r="J183" s="49"/>
      <c r="K183" s="49"/>
    </row>
    <row r="184" spans="1:11" s="1" customFormat="1" ht="12.75" customHeight="1">
      <c r="A184" s="35">
        <v>92604</v>
      </c>
      <c r="B184" s="36" t="s">
        <v>300</v>
      </c>
      <c r="C184" s="30">
        <v>2239500</v>
      </c>
      <c r="D184" s="30">
        <v>0</v>
      </c>
      <c r="E184" s="31">
        <f t="shared" si="59"/>
        <v>2239500</v>
      </c>
      <c r="F184" s="37">
        <f>SUM(F185:F186)</f>
        <v>20000</v>
      </c>
      <c r="G184" s="37">
        <v>0</v>
      </c>
      <c r="H184" s="31">
        <f t="shared" si="60"/>
        <v>20000</v>
      </c>
      <c r="I184" s="31">
        <f t="shared" si="61"/>
        <v>2259500</v>
      </c>
      <c r="J184" s="31">
        <f t="shared" si="61"/>
        <v>0</v>
      </c>
      <c r="K184" s="31">
        <f t="shared" si="61"/>
        <v>2259500</v>
      </c>
    </row>
    <row r="185" spans="1:11" s="1" customFormat="1" ht="12.75" customHeight="1">
      <c r="A185" s="35" t="s">
        <v>301</v>
      </c>
      <c r="B185" s="36" t="s">
        <v>302</v>
      </c>
      <c r="C185" s="30">
        <v>193465</v>
      </c>
      <c r="D185" s="30">
        <v>0</v>
      </c>
      <c r="E185" s="31">
        <f t="shared" si="59"/>
        <v>193465</v>
      </c>
      <c r="F185" s="37">
        <v>8000</v>
      </c>
      <c r="G185" s="37">
        <v>0</v>
      </c>
      <c r="H185" s="31">
        <f t="shared" si="60"/>
        <v>8000</v>
      </c>
      <c r="I185" s="31">
        <f>C185+F185</f>
        <v>201465</v>
      </c>
      <c r="J185" s="31">
        <f>D185+G185</f>
        <v>0</v>
      </c>
      <c r="K185" s="31">
        <f>E185+H185</f>
        <v>201465</v>
      </c>
    </row>
    <row r="186" spans="1:11" s="42" customFormat="1" ht="12.75" customHeight="1">
      <c r="A186" s="38" t="s">
        <v>303</v>
      </c>
      <c r="B186" s="39" t="s">
        <v>304</v>
      </c>
      <c r="C186" s="45">
        <v>130500</v>
      </c>
      <c r="D186" s="45">
        <v>0</v>
      </c>
      <c r="E186" s="41">
        <f t="shared" si="59"/>
        <v>130500</v>
      </c>
      <c r="F186" s="40">
        <v>12000</v>
      </c>
      <c r="G186" s="40">
        <v>0</v>
      </c>
      <c r="H186" s="41">
        <f t="shared" si="60"/>
        <v>12000</v>
      </c>
      <c r="I186" s="41">
        <f t="shared" si="61"/>
        <v>142500</v>
      </c>
      <c r="J186" s="41">
        <f t="shared" si="61"/>
        <v>0</v>
      </c>
      <c r="K186" s="41">
        <f t="shared" si="61"/>
        <v>142500</v>
      </c>
    </row>
    <row r="187" spans="1:11" ht="12.75" customHeight="1">
      <c r="A187" s="32">
        <v>92605</v>
      </c>
      <c r="B187" s="33" t="s">
        <v>305</v>
      </c>
      <c r="C187" s="26">
        <v>750000</v>
      </c>
      <c r="D187" s="26">
        <v>0</v>
      </c>
      <c r="E187" s="27">
        <f t="shared" si="59"/>
        <v>750000</v>
      </c>
      <c r="F187" s="34">
        <f>SUM(F188:F188)</f>
        <v>-15000</v>
      </c>
      <c r="G187" s="34">
        <v>0</v>
      </c>
      <c r="H187" s="27">
        <f t="shared" si="60"/>
        <v>-15000</v>
      </c>
      <c r="I187" s="27">
        <f t="shared" si="61"/>
        <v>735000</v>
      </c>
      <c r="J187" s="27">
        <f t="shared" si="61"/>
        <v>0</v>
      </c>
      <c r="K187" s="27">
        <f t="shared" si="61"/>
        <v>735000</v>
      </c>
    </row>
    <row r="188" spans="1:11" ht="12.75" customHeight="1">
      <c r="A188" s="35" t="s">
        <v>306</v>
      </c>
      <c r="B188" s="36" t="s">
        <v>307</v>
      </c>
      <c r="C188" s="30">
        <v>750000</v>
      </c>
      <c r="D188" s="30">
        <v>0</v>
      </c>
      <c r="E188" s="31">
        <f t="shared" si="59"/>
        <v>750000</v>
      </c>
      <c r="F188" s="37">
        <v>-15000</v>
      </c>
      <c r="G188" s="37">
        <v>0</v>
      </c>
      <c r="H188" s="31">
        <f t="shared" si="60"/>
        <v>-15000</v>
      </c>
      <c r="I188" s="31">
        <f t="shared" si="61"/>
        <v>735000</v>
      </c>
      <c r="J188" s="31">
        <f t="shared" si="61"/>
        <v>0</v>
      </c>
      <c r="K188" s="31">
        <f t="shared" si="61"/>
        <v>735000</v>
      </c>
    </row>
    <row r="189" spans="1:11" ht="12.75" customHeight="1">
      <c r="A189" s="32">
        <v>92695</v>
      </c>
      <c r="B189" s="33" t="s">
        <v>308</v>
      </c>
      <c r="C189" s="26">
        <v>478600</v>
      </c>
      <c r="D189" s="26">
        <v>800000</v>
      </c>
      <c r="E189" s="27">
        <f t="shared" si="59"/>
        <v>1278600</v>
      </c>
      <c r="F189" s="34">
        <f>SUM(F190:F190)</f>
        <v>-200000</v>
      </c>
      <c r="G189" s="34">
        <f>G190</f>
        <v>-800000</v>
      </c>
      <c r="H189" s="27">
        <f t="shared" si="60"/>
        <v>-1000000</v>
      </c>
      <c r="I189" s="27">
        <f t="shared" si="61"/>
        <v>278600</v>
      </c>
      <c r="J189" s="27">
        <f t="shared" si="61"/>
        <v>0</v>
      </c>
      <c r="K189" s="27">
        <f t="shared" si="61"/>
        <v>278600</v>
      </c>
    </row>
    <row r="190" spans="1:11" ht="12.75" customHeight="1">
      <c r="A190" s="35" t="s">
        <v>309</v>
      </c>
      <c r="B190" s="36" t="s">
        <v>310</v>
      </c>
      <c r="C190" s="30">
        <v>400000</v>
      </c>
      <c r="D190" s="30">
        <v>800000</v>
      </c>
      <c r="E190" s="31">
        <f t="shared" si="59"/>
        <v>1200000</v>
      </c>
      <c r="F190" s="37">
        <v>-200000</v>
      </c>
      <c r="G190" s="37">
        <v>-800000</v>
      </c>
      <c r="H190" s="31">
        <f t="shared" si="60"/>
        <v>-1000000</v>
      </c>
      <c r="I190" s="31">
        <f t="shared" si="61"/>
        <v>200000</v>
      </c>
      <c r="J190" s="31">
        <f t="shared" si="61"/>
        <v>0</v>
      </c>
      <c r="K190" s="31">
        <f t="shared" si="61"/>
        <v>200000</v>
      </c>
    </row>
    <row r="191" spans="1:11" ht="30" customHeight="1">
      <c r="A191" s="4" t="s">
        <v>311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>
      <c r="A192" s="18" t="s">
        <v>312</v>
      </c>
      <c r="B192" s="19" t="s">
        <v>313</v>
      </c>
      <c r="C192" s="20">
        <v>50959253</v>
      </c>
      <c r="D192" s="20">
        <v>9757285</v>
      </c>
      <c r="E192" s="11">
        <f>SUM(C192:D192)</f>
        <v>60716538</v>
      </c>
      <c r="F192" s="20">
        <f>F195+F219+F212+F227+F241+F256+F261</f>
        <v>1077150</v>
      </c>
      <c r="G192" s="20">
        <f>G195+G219+G212+G227+G241+G256+G261</f>
        <v>13500</v>
      </c>
      <c r="H192" s="11">
        <f>F192+G192</f>
        <v>1090650</v>
      </c>
      <c r="I192" s="11">
        <f>C192+F192</f>
        <v>52036403</v>
      </c>
      <c r="J192" s="11">
        <f>D192+G192</f>
        <v>9770785</v>
      </c>
      <c r="K192" s="11">
        <f>E192+H192</f>
        <v>61807188</v>
      </c>
    </row>
    <row r="193" spans="1:11" ht="12.75" customHeight="1">
      <c r="A193" s="18"/>
      <c r="B193" s="19" t="s">
        <v>314</v>
      </c>
      <c r="C193" s="20"/>
      <c r="D193" s="20"/>
      <c r="E193" s="20"/>
      <c r="F193" s="20"/>
      <c r="G193" s="20"/>
      <c r="H193" s="11"/>
      <c r="I193" s="11"/>
      <c r="J193" s="11"/>
      <c r="K193" s="11"/>
    </row>
    <row r="194" spans="1:11" ht="12.75" customHeight="1">
      <c r="A194" s="21"/>
      <c r="B194" s="22" t="s">
        <v>315</v>
      </c>
      <c r="C194" s="23">
        <v>6838642</v>
      </c>
      <c r="D194" s="23">
        <v>64000</v>
      </c>
      <c r="E194" s="13">
        <f>SUM(C194:D194)</f>
        <v>6902642</v>
      </c>
      <c r="F194" s="20">
        <f>F197+F221+F214+F229+F243+F258+F263</f>
        <v>2115007</v>
      </c>
      <c r="G194" s="20">
        <f>G197+G221+G214+G229+G243+G258+G263</f>
        <v>0</v>
      </c>
      <c r="H194" s="13">
        <f>F194+G194</f>
        <v>2115007</v>
      </c>
      <c r="I194" s="13">
        <f aca="true" t="shared" si="62" ref="I194:K195">C194+F194</f>
        <v>8953649</v>
      </c>
      <c r="J194" s="13">
        <f t="shared" si="62"/>
        <v>64000</v>
      </c>
      <c r="K194" s="13">
        <f t="shared" si="62"/>
        <v>9017649</v>
      </c>
    </row>
    <row r="195" spans="1:11" ht="12.75" customHeight="1">
      <c r="A195" s="6" t="s">
        <v>316</v>
      </c>
      <c r="B195" s="16" t="s">
        <v>317</v>
      </c>
      <c r="C195" s="17">
        <v>10938833</v>
      </c>
      <c r="D195" s="17">
        <v>0</v>
      </c>
      <c r="E195" s="9">
        <f>SUM(C195:D195)</f>
        <v>10938833</v>
      </c>
      <c r="F195" s="17">
        <f>F198</f>
        <v>-872357</v>
      </c>
      <c r="G195" s="17">
        <v>0</v>
      </c>
      <c r="H195" s="9">
        <f>F195+G195</f>
        <v>-872357</v>
      </c>
      <c r="I195" s="9">
        <f t="shared" si="62"/>
        <v>10066476</v>
      </c>
      <c r="J195" s="9">
        <f t="shared" si="62"/>
        <v>0</v>
      </c>
      <c r="K195" s="9">
        <f t="shared" si="62"/>
        <v>10066476</v>
      </c>
    </row>
    <row r="196" spans="1:11" ht="12.75" customHeight="1">
      <c r="A196" s="18"/>
      <c r="B196" s="19" t="s">
        <v>318</v>
      </c>
      <c r="C196" s="20"/>
      <c r="D196" s="20"/>
      <c r="E196" s="11"/>
      <c r="F196" s="20"/>
      <c r="G196" s="20"/>
      <c r="H196" s="11"/>
      <c r="I196" s="11"/>
      <c r="J196" s="51"/>
      <c r="K196" s="11"/>
    </row>
    <row r="197" spans="1:11" ht="12.75" customHeight="1">
      <c r="A197" s="18"/>
      <c r="B197" s="19" t="s">
        <v>319</v>
      </c>
      <c r="C197" s="20">
        <v>6307000</v>
      </c>
      <c r="D197" s="20">
        <v>0</v>
      </c>
      <c r="E197" s="11">
        <f>SUM(C197:D197)</f>
        <v>6307000</v>
      </c>
      <c r="F197" s="20">
        <f>F210+F211</f>
        <v>232000</v>
      </c>
      <c r="G197" s="20">
        <v>0</v>
      </c>
      <c r="H197" s="11">
        <f>F197+G197</f>
        <v>232000</v>
      </c>
      <c r="I197" s="11">
        <f>C197+F197</f>
        <v>6539000</v>
      </c>
      <c r="J197" s="11">
        <f>D197+G197</f>
        <v>0</v>
      </c>
      <c r="K197" s="11">
        <f>E197+H197</f>
        <v>6539000</v>
      </c>
    </row>
    <row r="198" spans="1:11" s="25" customFormat="1" ht="12.75" customHeight="1">
      <c r="A198" s="32">
        <v>60015</v>
      </c>
      <c r="B198" s="33" t="s">
        <v>320</v>
      </c>
      <c r="C198" s="34">
        <v>10936833</v>
      </c>
      <c r="D198" s="34">
        <v>0</v>
      </c>
      <c r="E198" s="27">
        <f>SUM(C198:D198)</f>
        <v>10936833</v>
      </c>
      <c r="F198" s="34">
        <f>SUM(F199:F211)</f>
        <v>-872357</v>
      </c>
      <c r="G198" s="34">
        <v>0</v>
      </c>
      <c r="H198" s="27">
        <f>F198+G198</f>
        <v>-872357</v>
      </c>
      <c r="I198" s="27">
        <f aca="true" t="shared" si="63" ref="I198:J212">C198+F198</f>
        <v>10064476</v>
      </c>
      <c r="J198" s="27">
        <f t="shared" si="63"/>
        <v>0</v>
      </c>
      <c r="K198" s="27">
        <f>SUM(E198+H198)</f>
        <v>10064476</v>
      </c>
    </row>
    <row r="199" spans="1:11" s="29" customFormat="1" ht="12.75" customHeight="1">
      <c r="A199" s="35" t="s">
        <v>321</v>
      </c>
      <c r="B199" s="36" t="s">
        <v>322</v>
      </c>
      <c r="C199" s="37">
        <v>0</v>
      </c>
      <c r="D199" s="37">
        <v>0</v>
      </c>
      <c r="E199" s="31">
        <f>SUM(C199:D199)</f>
        <v>0</v>
      </c>
      <c r="F199" s="37">
        <v>7500</v>
      </c>
      <c r="G199" s="37">
        <v>0</v>
      </c>
      <c r="H199" s="31">
        <f>F199+G199</f>
        <v>7500</v>
      </c>
      <c r="I199" s="31">
        <f t="shared" si="63"/>
        <v>7500</v>
      </c>
      <c r="J199" s="31">
        <f t="shared" si="63"/>
        <v>0</v>
      </c>
      <c r="K199" s="31">
        <f>E199+H199</f>
        <v>7500</v>
      </c>
    </row>
    <row r="200" spans="1:11" s="29" customFormat="1" ht="12.75" customHeight="1">
      <c r="A200" s="35" t="s">
        <v>323</v>
      </c>
      <c r="B200" s="36" t="s">
        <v>324</v>
      </c>
      <c r="C200" s="37">
        <v>420000</v>
      </c>
      <c r="D200" s="37">
        <v>0</v>
      </c>
      <c r="E200" s="31">
        <f>SUM(C200:D200)</f>
        <v>420000</v>
      </c>
      <c r="F200" s="37">
        <v>33539</v>
      </c>
      <c r="G200" s="37">
        <v>0</v>
      </c>
      <c r="H200" s="31">
        <f>F200+G200</f>
        <v>33539</v>
      </c>
      <c r="I200" s="31">
        <f t="shared" si="63"/>
        <v>453539</v>
      </c>
      <c r="J200" s="31">
        <f t="shared" si="63"/>
        <v>0</v>
      </c>
      <c r="K200" s="31">
        <f>E200+H200</f>
        <v>453539</v>
      </c>
    </row>
    <row r="201" spans="1:11" s="29" customFormat="1" ht="12.75" customHeight="1">
      <c r="A201" s="35" t="s">
        <v>325</v>
      </c>
      <c r="B201" s="36" t="s">
        <v>326</v>
      </c>
      <c r="C201" s="37">
        <v>70000</v>
      </c>
      <c r="D201" s="37">
        <v>0</v>
      </c>
      <c r="E201" s="31">
        <f aca="true" t="shared" si="64" ref="E201:E208">SUM(C201:D201)</f>
        <v>70000</v>
      </c>
      <c r="F201" s="37">
        <v>-70000</v>
      </c>
      <c r="G201" s="37">
        <v>0</v>
      </c>
      <c r="H201" s="31">
        <f aca="true" t="shared" si="65" ref="H201:H208">F201+G201</f>
        <v>-70000</v>
      </c>
      <c r="I201" s="31">
        <f t="shared" si="63"/>
        <v>0</v>
      </c>
      <c r="J201" s="31">
        <f t="shared" si="63"/>
        <v>0</v>
      </c>
      <c r="K201" s="31">
        <f aca="true" t="shared" si="66" ref="K201:K208">E201+H201</f>
        <v>0</v>
      </c>
    </row>
    <row r="202" spans="1:11" s="29" customFormat="1" ht="12.75" customHeight="1">
      <c r="A202" s="35" t="s">
        <v>327</v>
      </c>
      <c r="B202" s="36" t="s">
        <v>328</v>
      </c>
      <c r="C202" s="37">
        <v>74793</v>
      </c>
      <c r="D202" s="37">
        <v>0</v>
      </c>
      <c r="E202" s="31">
        <f t="shared" si="64"/>
        <v>74793</v>
      </c>
      <c r="F202" s="37">
        <v>31697</v>
      </c>
      <c r="G202" s="37">
        <v>0</v>
      </c>
      <c r="H202" s="31">
        <f t="shared" si="65"/>
        <v>31697</v>
      </c>
      <c r="I202" s="31">
        <f t="shared" si="63"/>
        <v>106490</v>
      </c>
      <c r="J202" s="31">
        <f t="shared" si="63"/>
        <v>0</v>
      </c>
      <c r="K202" s="31">
        <f t="shared" si="66"/>
        <v>106490</v>
      </c>
    </row>
    <row r="203" spans="1:11" s="29" customFormat="1" ht="12.75" customHeight="1">
      <c r="A203" s="35" t="s">
        <v>329</v>
      </c>
      <c r="B203" s="36" t="s">
        <v>330</v>
      </c>
      <c r="C203" s="37">
        <v>10290</v>
      </c>
      <c r="D203" s="37">
        <v>0</v>
      </c>
      <c r="E203" s="31">
        <f t="shared" si="64"/>
        <v>10290</v>
      </c>
      <c r="F203" s="37">
        <v>4507</v>
      </c>
      <c r="G203" s="37">
        <v>0</v>
      </c>
      <c r="H203" s="31">
        <f t="shared" si="65"/>
        <v>4507</v>
      </c>
      <c r="I203" s="31">
        <f t="shared" si="63"/>
        <v>14797</v>
      </c>
      <c r="J203" s="31">
        <f t="shared" si="63"/>
        <v>0</v>
      </c>
      <c r="K203" s="31">
        <f t="shared" si="66"/>
        <v>14797</v>
      </c>
    </row>
    <row r="204" spans="1:11" s="29" customFormat="1" ht="12.75" customHeight="1">
      <c r="A204" s="35" t="s">
        <v>331</v>
      </c>
      <c r="B204" s="36" t="s">
        <v>332</v>
      </c>
      <c r="C204" s="37">
        <v>0</v>
      </c>
      <c r="D204" s="37">
        <v>0</v>
      </c>
      <c r="E204" s="31">
        <f t="shared" si="64"/>
        <v>0</v>
      </c>
      <c r="F204" s="37">
        <v>400</v>
      </c>
      <c r="G204" s="37">
        <v>0</v>
      </c>
      <c r="H204" s="31">
        <f t="shared" si="65"/>
        <v>400</v>
      </c>
      <c r="I204" s="31">
        <f t="shared" si="63"/>
        <v>400</v>
      </c>
      <c r="J204" s="31">
        <f t="shared" si="63"/>
        <v>0</v>
      </c>
      <c r="K204" s="31">
        <f t="shared" si="66"/>
        <v>400</v>
      </c>
    </row>
    <row r="205" spans="1:11" s="29" customFormat="1" ht="12.75" customHeight="1">
      <c r="A205" s="35" t="s">
        <v>333</v>
      </c>
      <c r="B205" s="36" t="s">
        <v>334</v>
      </c>
      <c r="C205" s="37">
        <v>0</v>
      </c>
      <c r="D205" s="37">
        <v>0</v>
      </c>
      <c r="E205" s="31">
        <f t="shared" si="64"/>
        <v>0</v>
      </c>
      <c r="F205" s="37">
        <v>1000</v>
      </c>
      <c r="G205" s="37">
        <v>0</v>
      </c>
      <c r="H205" s="31">
        <f t="shared" si="65"/>
        <v>1000</v>
      </c>
      <c r="I205" s="31">
        <f t="shared" si="63"/>
        <v>1000</v>
      </c>
      <c r="J205" s="31">
        <f t="shared" si="63"/>
        <v>0</v>
      </c>
      <c r="K205" s="31">
        <f t="shared" si="66"/>
        <v>1000</v>
      </c>
    </row>
    <row r="206" spans="1:11" s="29" customFormat="1" ht="12.75" customHeight="1">
      <c r="A206" s="35" t="s">
        <v>335</v>
      </c>
      <c r="B206" s="36" t="s">
        <v>336</v>
      </c>
      <c r="C206" s="37">
        <v>0</v>
      </c>
      <c r="D206" s="37">
        <v>0</v>
      </c>
      <c r="E206" s="31">
        <f t="shared" si="64"/>
        <v>0</v>
      </c>
      <c r="F206" s="37">
        <v>80000</v>
      </c>
      <c r="G206" s="37">
        <v>0</v>
      </c>
      <c r="H206" s="31">
        <f t="shared" si="65"/>
        <v>80000</v>
      </c>
      <c r="I206" s="31">
        <f t="shared" si="63"/>
        <v>80000</v>
      </c>
      <c r="J206" s="31">
        <f t="shared" si="63"/>
        <v>0</v>
      </c>
      <c r="K206" s="31">
        <f t="shared" si="66"/>
        <v>80000</v>
      </c>
    </row>
    <row r="207" spans="1:11" s="29" customFormat="1" ht="12.75" customHeight="1">
      <c r="A207" s="35" t="s">
        <v>337</v>
      </c>
      <c r="B207" s="36" t="s">
        <v>338</v>
      </c>
      <c r="C207" s="37">
        <v>2364000</v>
      </c>
      <c r="D207" s="37">
        <v>0</v>
      </c>
      <c r="E207" s="31">
        <f t="shared" si="64"/>
        <v>2364000</v>
      </c>
      <c r="F207" s="37">
        <v>-1037000</v>
      </c>
      <c r="G207" s="37">
        <v>0</v>
      </c>
      <c r="H207" s="31">
        <f t="shared" si="65"/>
        <v>-1037000</v>
      </c>
      <c r="I207" s="31">
        <f t="shared" si="63"/>
        <v>1327000</v>
      </c>
      <c r="J207" s="31">
        <f t="shared" si="63"/>
        <v>0</v>
      </c>
      <c r="K207" s="31">
        <f t="shared" si="66"/>
        <v>1327000</v>
      </c>
    </row>
    <row r="208" spans="1:11" s="29" customFormat="1" ht="12.75" customHeight="1">
      <c r="A208" s="35" t="s">
        <v>339</v>
      </c>
      <c r="B208" s="36" t="s">
        <v>340</v>
      </c>
      <c r="C208" s="37">
        <v>1501370</v>
      </c>
      <c r="D208" s="37">
        <v>0</v>
      </c>
      <c r="E208" s="31">
        <f t="shared" si="64"/>
        <v>1501370</v>
      </c>
      <c r="F208" s="37">
        <v>-166000</v>
      </c>
      <c r="G208" s="37">
        <v>0</v>
      </c>
      <c r="H208" s="31">
        <f t="shared" si="65"/>
        <v>-166000</v>
      </c>
      <c r="I208" s="31">
        <f t="shared" si="63"/>
        <v>1335370</v>
      </c>
      <c r="J208" s="31">
        <f t="shared" si="63"/>
        <v>0</v>
      </c>
      <c r="K208" s="31">
        <f t="shared" si="66"/>
        <v>1335370</v>
      </c>
    </row>
    <row r="209" spans="1:11" s="29" customFormat="1" ht="12.75" customHeight="1">
      <c r="A209" s="35" t="s">
        <v>341</v>
      </c>
      <c r="B209" s="36" t="s">
        <v>342</v>
      </c>
      <c r="C209" s="37">
        <v>0</v>
      </c>
      <c r="D209" s="37">
        <v>0</v>
      </c>
      <c r="E209" s="31">
        <f>SUM(C209:D209)</f>
        <v>0</v>
      </c>
      <c r="F209" s="37">
        <v>10000</v>
      </c>
      <c r="G209" s="37">
        <v>0</v>
      </c>
      <c r="H209" s="31">
        <f>F209+G209</f>
        <v>10000</v>
      </c>
      <c r="I209" s="31">
        <f aca="true" t="shared" si="67" ref="I209:K210">C209+F209</f>
        <v>10000</v>
      </c>
      <c r="J209" s="31">
        <f t="shared" si="67"/>
        <v>0</v>
      </c>
      <c r="K209" s="31">
        <f t="shared" si="67"/>
        <v>10000</v>
      </c>
    </row>
    <row r="210" spans="1:11" s="29" customFormat="1" ht="12.75" customHeight="1">
      <c r="A210" s="35" t="s">
        <v>343</v>
      </c>
      <c r="B210" s="36" t="s">
        <v>344</v>
      </c>
      <c r="C210" s="37">
        <v>6267000</v>
      </c>
      <c r="D210" s="37">
        <v>0</v>
      </c>
      <c r="E210" s="31">
        <f>SUM(C210:D210)</f>
        <v>6267000</v>
      </c>
      <c r="F210" s="37">
        <f>959000+800000-800000-767000+10000</f>
        <v>202000</v>
      </c>
      <c r="G210" s="37">
        <v>0</v>
      </c>
      <c r="H210" s="31">
        <f>F210+G210</f>
        <v>202000</v>
      </c>
      <c r="I210" s="31">
        <f t="shared" si="67"/>
        <v>6469000</v>
      </c>
      <c r="J210" s="31">
        <f t="shared" si="67"/>
        <v>0</v>
      </c>
      <c r="K210" s="31">
        <f t="shared" si="67"/>
        <v>6469000</v>
      </c>
    </row>
    <row r="211" spans="1:11" s="44" customFormat="1" ht="12.75" customHeight="1">
      <c r="A211" s="38" t="s">
        <v>345</v>
      </c>
      <c r="B211" s="39" t="s">
        <v>346</v>
      </c>
      <c r="C211" s="40">
        <v>40000</v>
      </c>
      <c r="D211" s="40">
        <v>0</v>
      </c>
      <c r="E211" s="41">
        <f>SUM(C211:D211)</f>
        <v>40000</v>
      </c>
      <c r="F211" s="40">
        <v>30000</v>
      </c>
      <c r="G211" s="40">
        <v>0</v>
      </c>
      <c r="H211" s="41">
        <f>F211+G211</f>
        <v>30000</v>
      </c>
      <c r="I211" s="41">
        <f t="shared" si="63"/>
        <v>70000</v>
      </c>
      <c r="J211" s="41">
        <f t="shared" si="63"/>
        <v>0</v>
      </c>
      <c r="K211" s="41">
        <f>E211+H211</f>
        <v>70000</v>
      </c>
    </row>
    <row r="212" spans="1:11" ht="12.75" customHeight="1">
      <c r="A212" s="18" t="s">
        <v>347</v>
      </c>
      <c r="B212" s="19" t="s">
        <v>348</v>
      </c>
      <c r="C212" s="20">
        <v>1230583</v>
      </c>
      <c r="D212" s="20">
        <v>191356</v>
      </c>
      <c r="E212" s="11">
        <f>SUM(C212:D212)</f>
        <v>1421939</v>
      </c>
      <c r="F212" s="20">
        <f>F215</f>
        <v>-200000</v>
      </c>
      <c r="G212" s="20">
        <v>0</v>
      </c>
      <c r="H212" s="11">
        <f>F212+G212</f>
        <v>-200000</v>
      </c>
      <c r="I212" s="11">
        <f t="shared" si="63"/>
        <v>1030583</v>
      </c>
      <c r="J212" s="11">
        <f t="shared" si="63"/>
        <v>191356</v>
      </c>
      <c r="K212" s="11">
        <f>E212+H212</f>
        <v>1221939</v>
      </c>
    </row>
    <row r="213" spans="1:11" ht="12.75" customHeight="1">
      <c r="A213" s="18"/>
      <c r="B213" s="19" t="s">
        <v>349</v>
      </c>
      <c r="C213" s="20"/>
      <c r="D213" s="20"/>
      <c r="E213" s="11"/>
      <c r="F213" s="20"/>
      <c r="G213" s="20"/>
      <c r="H213" s="11"/>
      <c r="I213" s="11"/>
      <c r="J213" s="51"/>
      <c r="K213" s="11"/>
    </row>
    <row r="214" spans="1:11" ht="12.75" customHeight="1">
      <c r="A214" s="18"/>
      <c r="B214" s="19" t="s">
        <v>350</v>
      </c>
      <c r="C214" s="20">
        <v>0</v>
      </c>
      <c r="D214" s="20">
        <v>0</v>
      </c>
      <c r="E214" s="11">
        <f>SUM(C214:D214)</f>
        <v>0</v>
      </c>
      <c r="F214" s="20">
        <v>0</v>
      </c>
      <c r="G214" s="20">
        <v>0</v>
      </c>
      <c r="H214" s="11">
        <f>F214+G214</f>
        <v>0</v>
      </c>
      <c r="I214" s="11">
        <f>C214+F214</f>
        <v>0</v>
      </c>
      <c r="J214" s="11">
        <f>D214+G214</f>
        <v>0</v>
      </c>
      <c r="K214" s="11">
        <f>E214+H214</f>
        <v>0</v>
      </c>
    </row>
    <row r="215" spans="1:11" ht="12.75" customHeight="1">
      <c r="A215" s="32">
        <v>75020</v>
      </c>
      <c r="B215" s="33" t="s">
        <v>351</v>
      </c>
      <c r="C215" s="34">
        <v>1230583</v>
      </c>
      <c r="D215" s="34">
        <v>0</v>
      </c>
      <c r="E215" s="27">
        <f>SUM(C215:D215)</f>
        <v>1230583</v>
      </c>
      <c r="F215" s="34">
        <f>SUM(F216:F217)</f>
        <v>-200000</v>
      </c>
      <c r="G215" s="34">
        <v>0</v>
      </c>
      <c r="H215" s="27">
        <f>F215+G215</f>
        <v>-200000</v>
      </c>
      <c r="I215" s="27">
        <f aca="true" t="shared" si="68" ref="I215:J219">C215+F215</f>
        <v>1030583</v>
      </c>
      <c r="J215" s="27">
        <f t="shared" si="68"/>
        <v>0</v>
      </c>
      <c r="K215" s="27">
        <f>SUM(E215+H215)</f>
        <v>1030583</v>
      </c>
    </row>
    <row r="216" spans="1:11" ht="12.75" customHeight="1">
      <c r="A216" s="35" t="s">
        <v>352</v>
      </c>
      <c r="B216" s="36" t="s">
        <v>353</v>
      </c>
      <c r="C216" s="37">
        <v>550000</v>
      </c>
      <c r="D216" s="37">
        <v>0</v>
      </c>
      <c r="E216" s="31">
        <f>SUM(C216:D216)</f>
        <v>550000</v>
      </c>
      <c r="F216" s="37">
        <v>-100000</v>
      </c>
      <c r="G216" s="37">
        <v>0</v>
      </c>
      <c r="H216" s="31">
        <f>F216+G216</f>
        <v>-100000</v>
      </c>
      <c r="I216" s="31">
        <f t="shared" si="68"/>
        <v>450000</v>
      </c>
      <c r="J216" s="31">
        <f t="shared" si="68"/>
        <v>0</v>
      </c>
      <c r="K216" s="31">
        <f>E216+H216</f>
        <v>450000</v>
      </c>
    </row>
    <row r="217" spans="1:11" ht="12.75" customHeight="1">
      <c r="A217" s="35" t="s">
        <v>354</v>
      </c>
      <c r="B217" s="36" t="s">
        <v>355</v>
      </c>
      <c r="C217" s="37">
        <v>300000</v>
      </c>
      <c r="D217" s="37">
        <v>0</v>
      </c>
      <c r="E217" s="31">
        <f>SUM(C217:D217)</f>
        <v>300000</v>
      </c>
      <c r="F217" s="37">
        <v>-100000</v>
      </c>
      <c r="G217" s="37">
        <v>0</v>
      </c>
      <c r="H217" s="31">
        <f>F217+G217</f>
        <v>-100000</v>
      </c>
      <c r="I217" s="31">
        <f t="shared" si="68"/>
        <v>200000</v>
      </c>
      <c r="J217" s="31">
        <f t="shared" si="68"/>
        <v>0</v>
      </c>
      <c r="K217" s="31">
        <f>E217+H217</f>
        <v>200000</v>
      </c>
    </row>
    <row r="218" spans="1:11" s="46" customFormat="1" ht="12.75" customHeight="1">
      <c r="A218" s="32"/>
      <c r="B218" s="33"/>
      <c r="C218" s="34"/>
      <c r="D218" s="34"/>
      <c r="E218" s="27"/>
      <c r="F218" s="34"/>
      <c r="G218" s="34"/>
      <c r="H218" s="27"/>
      <c r="I218" s="27"/>
      <c r="J218" s="27"/>
      <c r="K218" s="27"/>
    </row>
    <row r="219" spans="1:11" ht="12.75" customHeight="1">
      <c r="A219" s="6" t="s">
        <v>356</v>
      </c>
      <c r="B219" s="16" t="s">
        <v>357</v>
      </c>
      <c r="C219" s="17">
        <v>236400</v>
      </c>
      <c r="D219" s="17">
        <v>4602000</v>
      </c>
      <c r="E219" s="9">
        <f>SUM(C219:D219)</f>
        <v>4838400</v>
      </c>
      <c r="F219" s="17">
        <f>F225</f>
        <v>0</v>
      </c>
      <c r="G219" s="17">
        <f>G225</f>
        <v>13500</v>
      </c>
      <c r="H219" s="9">
        <f>F219+G219</f>
        <v>13500</v>
      </c>
      <c r="I219" s="9">
        <f t="shared" si="68"/>
        <v>236400</v>
      </c>
      <c r="J219" s="9">
        <f t="shared" si="68"/>
        <v>4615500</v>
      </c>
      <c r="K219" s="9">
        <f>E219+H219</f>
        <v>4851900</v>
      </c>
    </row>
    <row r="220" spans="1:11" ht="12.75" customHeight="1">
      <c r="A220" s="18"/>
      <c r="B220" s="19" t="s">
        <v>358</v>
      </c>
      <c r="C220" s="20"/>
      <c r="D220" s="20"/>
      <c r="E220" s="11"/>
      <c r="F220" s="20"/>
      <c r="G220" s="20"/>
      <c r="H220" s="11"/>
      <c r="I220" s="11"/>
      <c r="J220" s="51"/>
      <c r="K220" s="11"/>
    </row>
    <row r="221" spans="1:11" ht="12.75" customHeight="1">
      <c r="A221" s="18"/>
      <c r="B221" s="19" t="s">
        <v>359</v>
      </c>
      <c r="C221" s="20">
        <v>0</v>
      </c>
      <c r="D221" s="20">
        <v>60000</v>
      </c>
      <c r="E221" s="11">
        <f>SUM(C221:D221)</f>
        <v>60000</v>
      </c>
      <c r="F221" s="20">
        <f>F224</f>
        <v>25000</v>
      </c>
      <c r="G221" s="20">
        <v>0</v>
      </c>
      <c r="H221" s="11">
        <f>F221+G221</f>
        <v>25000</v>
      </c>
      <c r="I221" s="11">
        <f>C221+F221</f>
        <v>25000</v>
      </c>
      <c r="J221" s="11">
        <f>D221+G221</f>
        <v>60000</v>
      </c>
      <c r="K221" s="11">
        <f>E221+H221</f>
        <v>85000</v>
      </c>
    </row>
    <row r="222" spans="1:11" ht="12.75" customHeight="1">
      <c r="A222" s="32">
        <v>75405</v>
      </c>
      <c r="B222" s="33" t="s">
        <v>360</v>
      </c>
      <c r="C222" s="34">
        <v>125400</v>
      </c>
      <c r="D222" s="34">
        <v>0</v>
      </c>
      <c r="E222" s="27">
        <f aca="true" t="shared" si="69" ref="E222:E227">SUM(C222:D222)</f>
        <v>125400</v>
      </c>
      <c r="F222" s="34">
        <f>SUM(F223:F224)</f>
        <v>0</v>
      </c>
      <c r="G222" s="34">
        <v>0</v>
      </c>
      <c r="H222" s="27">
        <f aca="true" t="shared" si="70" ref="H222:H227">F222+G222</f>
        <v>0</v>
      </c>
      <c r="I222" s="27">
        <f aca="true" t="shared" si="71" ref="I222:J224">C222+F222</f>
        <v>125400</v>
      </c>
      <c r="J222" s="27">
        <f t="shared" si="71"/>
        <v>0</v>
      </c>
      <c r="K222" s="27">
        <f>SUM(E222+H222)</f>
        <v>125400</v>
      </c>
    </row>
    <row r="223" spans="1:11" ht="12.75" customHeight="1">
      <c r="A223" s="35" t="s">
        <v>361</v>
      </c>
      <c r="B223" s="36" t="s">
        <v>362</v>
      </c>
      <c r="C223" s="37">
        <v>125400</v>
      </c>
      <c r="D223" s="37">
        <v>0</v>
      </c>
      <c r="E223" s="31">
        <f t="shared" si="69"/>
        <v>125400</v>
      </c>
      <c r="F223" s="37">
        <v>-25000</v>
      </c>
      <c r="G223" s="37">
        <v>0</v>
      </c>
      <c r="H223" s="31">
        <f t="shared" si="70"/>
        <v>-25000</v>
      </c>
      <c r="I223" s="31">
        <f t="shared" si="71"/>
        <v>100400</v>
      </c>
      <c r="J223" s="31">
        <f t="shared" si="71"/>
        <v>0</v>
      </c>
      <c r="K223" s="31">
        <f>E223+H223</f>
        <v>100400</v>
      </c>
    </row>
    <row r="224" spans="1:11" ht="12.75" customHeight="1">
      <c r="A224" s="35" t="s">
        <v>363</v>
      </c>
      <c r="B224" s="36" t="s">
        <v>364</v>
      </c>
      <c r="C224" s="37">
        <v>0</v>
      </c>
      <c r="D224" s="37">
        <v>0</v>
      </c>
      <c r="E224" s="31">
        <f t="shared" si="69"/>
        <v>0</v>
      </c>
      <c r="F224" s="37">
        <v>25000</v>
      </c>
      <c r="G224" s="37">
        <v>0</v>
      </c>
      <c r="H224" s="31">
        <f t="shared" si="70"/>
        <v>25000</v>
      </c>
      <c r="I224" s="31">
        <f t="shared" si="71"/>
        <v>25000</v>
      </c>
      <c r="J224" s="31">
        <f t="shared" si="71"/>
        <v>0</v>
      </c>
      <c r="K224" s="31">
        <f>E224+H224</f>
        <v>25000</v>
      </c>
    </row>
    <row r="225" spans="1:11" ht="12.75" customHeight="1">
      <c r="A225" s="32">
        <v>75411</v>
      </c>
      <c r="B225" s="33" t="s">
        <v>365</v>
      </c>
      <c r="C225" s="34">
        <v>84000</v>
      </c>
      <c r="D225" s="34">
        <v>4542000</v>
      </c>
      <c r="E225" s="27">
        <f t="shared" si="69"/>
        <v>4626000</v>
      </c>
      <c r="F225" s="34">
        <f>SUM(F226:F226)</f>
        <v>0</v>
      </c>
      <c r="G225" s="34">
        <f>G226</f>
        <v>13500</v>
      </c>
      <c r="H225" s="27">
        <f t="shared" si="70"/>
        <v>13500</v>
      </c>
      <c r="I225" s="27">
        <f aca="true" t="shared" si="72" ref="I225:J227">C225+F225</f>
        <v>84000</v>
      </c>
      <c r="J225" s="27">
        <f t="shared" si="72"/>
        <v>4555500</v>
      </c>
      <c r="K225" s="27">
        <f>SUM(E225+H225)</f>
        <v>4639500</v>
      </c>
    </row>
    <row r="226" spans="1:11" ht="12.75" customHeight="1">
      <c r="A226" s="35" t="s">
        <v>366</v>
      </c>
      <c r="B226" s="36" t="s">
        <v>367</v>
      </c>
      <c r="C226" s="37">
        <v>80000</v>
      </c>
      <c r="D226" s="37">
        <v>179580</v>
      </c>
      <c r="E226" s="31">
        <f t="shared" si="69"/>
        <v>259580</v>
      </c>
      <c r="F226" s="37">
        <v>0</v>
      </c>
      <c r="G226" s="37">
        <v>13500</v>
      </c>
      <c r="H226" s="31">
        <f t="shared" si="70"/>
        <v>13500</v>
      </c>
      <c r="I226" s="31">
        <f t="shared" si="72"/>
        <v>80000</v>
      </c>
      <c r="J226" s="31">
        <f t="shared" si="72"/>
        <v>193080</v>
      </c>
      <c r="K226" s="31">
        <f>E226+H226</f>
        <v>273080</v>
      </c>
    </row>
    <row r="227" spans="1:11" ht="12.75" customHeight="1">
      <c r="A227" s="6" t="s">
        <v>368</v>
      </c>
      <c r="B227" s="16" t="s">
        <v>369</v>
      </c>
      <c r="C227" s="17">
        <v>28450480</v>
      </c>
      <c r="D227" s="17">
        <v>0</v>
      </c>
      <c r="E227" s="9">
        <f t="shared" si="69"/>
        <v>28450480</v>
      </c>
      <c r="F227" s="17">
        <f>F230+F232+F239</f>
        <v>1733007</v>
      </c>
      <c r="G227" s="17">
        <v>0</v>
      </c>
      <c r="H227" s="9">
        <f t="shared" si="70"/>
        <v>1733007</v>
      </c>
      <c r="I227" s="9">
        <f t="shared" si="72"/>
        <v>30183487</v>
      </c>
      <c r="J227" s="9">
        <f t="shared" si="72"/>
        <v>0</v>
      </c>
      <c r="K227" s="9">
        <f>E227+H227</f>
        <v>30183487</v>
      </c>
    </row>
    <row r="228" spans="1:11" ht="12.75" customHeight="1">
      <c r="A228" s="18"/>
      <c r="B228" s="19" t="s">
        <v>370</v>
      </c>
      <c r="C228" s="20"/>
      <c r="D228" s="20"/>
      <c r="E228" s="11"/>
      <c r="F228" s="20"/>
      <c r="G228" s="20"/>
      <c r="H228" s="11"/>
      <c r="I228" s="11"/>
      <c r="J228" s="51"/>
      <c r="K228" s="11"/>
    </row>
    <row r="229" spans="1:11" ht="12.75" customHeight="1">
      <c r="A229" s="18"/>
      <c r="B229" s="19" t="s">
        <v>371</v>
      </c>
      <c r="C229" s="20">
        <v>260000</v>
      </c>
      <c r="D229" s="20">
        <v>0</v>
      </c>
      <c r="E229" s="11">
        <f>SUM(C229:D229)</f>
        <v>260000</v>
      </c>
      <c r="F229" s="20">
        <f>F238</f>
        <v>1618007</v>
      </c>
      <c r="G229" s="20">
        <v>0</v>
      </c>
      <c r="H229" s="11">
        <f>F229+G229</f>
        <v>1618007</v>
      </c>
      <c r="I229" s="11">
        <f>C229+F229</f>
        <v>1878007</v>
      </c>
      <c r="J229" s="11">
        <f>D229+G229</f>
        <v>0</v>
      </c>
      <c r="K229" s="11">
        <f>E229+H229</f>
        <v>1878007</v>
      </c>
    </row>
    <row r="230" spans="1:11" ht="12.75" customHeight="1">
      <c r="A230" s="32">
        <v>80120</v>
      </c>
      <c r="B230" s="33" t="s">
        <v>372</v>
      </c>
      <c r="C230" s="34">
        <v>9864478</v>
      </c>
      <c r="D230" s="34">
        <v>0</v>
      </c>
      <c r="E230" s="27">
        <f>SUM(C230:D230)</f>
        <v>9864478</v>
      </c>
      <c r="F230" s="34">
        <f>SUM(F231:F231)</f>
        <v>79000</v>
      </c>
      <c r="G230" s="34">
        <v>0</v>
      </c>
      <c r="H230" s="27">
        <f>F230+G230</f>
        <v>79000</v>
      </c>
      <c r="I230" s="27">
        <f>C230+F230</f>
        <v>9943478</v>
      </c>
      <c r="J230" s="27">
        <f>D230+G230</f>
        <v>0</v>
      </c>
      <c r="K230" s="27">
        <f>SUM(E230+H230)</f>
        <v>9943478</v>
      </c>
    </row>
    <row r="231" spans="1:11" ht="12.75" customHeight="1">
      <c r="A231" s="35" t="s">
        <v>373</v>
      </c>
      <c r="B231" s="36" t="s">
        <v>374</v>
      </c>
      <c r="C231" s="37">
        <v>105700</v>
      </c>
      <c r="D231" s="37">
        <v>0</v>
      </c>
      <c r="E231" s="31">
        <f>SUM(C231:D231)</f>
        <v>105700</v>
      </c>
      <c r="F231" s="37">
        <v>79000</v>
      </c>
      <c r="G231" s="37">
        <v>0</v>
      </c>
      <c r="H231" s="31">
        <f>F231+G231</f>
        <v>79000</v>
      </c>
      <c r="I231" s="31">
        <f>C231+F231</f>
        <v>184700</v>
      </c>
      <c r="J231" s="31">
        <f>D231+G231</f>
        <v>0</v>
      </c>
      <c r="K231" s="31">
        <f>E231+H231</f>
        <v>184700</v>
      </c>
    </row>
    <row r="232" spans="1:11" s="25" customFormat="1" ht="12.75" customHeight="1">
      <c r="A232" s="32">
        <v>80130</v>
      </c>
      <c r="B232" s="33" t="s">
        <v>375</v>
      </c>
      <c r="C232" s="34">
        <v>12603225</v>
      </c>
      <c r="D232" s="34">
        <v>0</v>
      </c>
      <c r="E232" s="27">
        <f>SUM(C232:D232)</f>
        <v>12603225</v>
      </c>
      <c r="F232" s="34">
        <f>SUM(F233:F238)</f>
        <v>1630007</v>
      </c>
      <c r="G232" s="34">
        <v>0</v>
      </c>
      <c r="H232" s="27">
        <f>F232+G232</f>
        <v>1630007</v>
      </c>
      <c r="I232" s="27">
        <f aca="true" t="shared" si="73" ref="I232:K239">C232+F232</f>
        <v>14233232</v>
      </c>
      <c r="J232" s="27">
        <f t="shared" si="73"/>
        <v>0</v>
      </c>
      <c r="K232" s="27">
        <f>SUM(E232+H232)</f>
        <v>14233232</v>
      </c>
    </row>
    <row r="233" spans="1:11" s="29" customFormat="1" ht="12.75" customHeight="1">
      <c r="A233" s="35" t="s">
        <v>376</v>
      </c>
      <c r="B233" s="36" t="s">
        <v>377</v>
      </c>
      <c r="C233" s="37">
        <v>6677763</v>
      </c>
      <c r="D233" s="37">
        <v>0</v>
      </c>
      <c r="E233" s="31">
        <f>SUM(C233:D233)</f>
        <v>6677763</v>
      </c>
      <c r="F233" s="37">
        <f>-2434</f>
        <v>-2434</v>
      </c>
      <c r="G233" s="37">
        <v>0</v>
      </c>
      <c r="H233" s="31">
        <f>F233+G233</f>
        <v>-2434</v>
      </c>
      <c r="I233" s="31">
        <f t="shared" si="73"/>
        <v>6675329</v>
      </c>
      <c r="J233" s="31">
        <f t="shared" si="73"/>
        <v>0</v>
      </c>
      <c r="K233" s="31">
        <f>E233+H233</f>
        <v>6675329</v>
      </c>
    </row>
    <row r="234" spans="1:11" s="29" customFormat="1" ht="12.75" customHeight="1">
      <c r="A234" s="35" t="s">
        <v>378</v>
      </c>
      <c r="B234" s="36" t="s">
        <v>379</v>
      </c>
      <c r="C234" s="37">
        <v>534169</v>
      </c>
      <c r="D234" s="37">
        <v>0</v>
      </c>
      <c r="E234" s="31">
        <f aca="true" t="shared" si="74" ref="E234:E240">SUM(C234:D234)</f>
        <v>534169</v>
      </c>
      <c r="F234" s="37">
        <f>-266</f>
        <v>-266</v>
      </c>
      <c r="G234" s="37">
        <v>0</v>
      </c>
      <c r="H234" s="31">
        <f aca="true" t="shared" si="75" ref="H234:H240">F234+G234</f>
        <v>-266</v>
      </c>
      <c r="I234" s="31">
        <f t="shared" si="73"/>
        <v>533903</v>
      </c>
      <c r="J234" s="31">
        <f t="shared" si="73"/>
        <v>0</v>
      </c>
      <c r="K234" s="31">
        <f t="shared" si="73"/>
        <v>533903</v>
      </c>
    </row>
    <row r="235" spans="1:11" s="29" customFormat="1" ht="12.75" customHeight="1">
      <c r="A235" s="35" t="s">
        <v>380</v>
      </c>
      <c r="B235" s="36" t="s">
        <v>381</v>
      </c>
      <c r="C235" s="37">
        <v>104000</v>
      </c>
      <c r="D235" s="37">
        <v>0</v>
      </c>
      <c r="E235" s="31">
        <f t="shared" si="74"/>
        <v>104000</v>
      </c>
      <c r="F235" s="37">
        <v>12000</v>
      </c>
      <c r="G235" s="37">
        <v>0</v>
      </c>
      <c r="H235" s="31">
        <f t="shared" si="75"/>
        <v>12000</v>
      </c>
      <c r="I235" s="31">
        <f t="shared" si="73"/>
        <v>116000</v>
      </c>
      <c r="J235" s="31">
        <f t="shared" si="73"/>
        <v>0</v>
      </c>
      <c r="K235" s="31">
        <f t="shared" si="73"/>
        <v>116000</v>
      </c>
    </row>
    <row r="236" spans="1:11" s="29" customFormat="1" ht="12.75" customHeight="1">
      <c r="A236" s="35" t="s">
        <v>382</v>
      </c>
      <c r="B236" s="36" t="s">
        <v>383</v>
      </c>
      <c r="C236" s="37">
        <v>78500</v>
      </c>
      <c r="D236" s="37">
        <v>0</v>
      </c>
      <c r="E236" s="31">
        <f t="shared" si="74"/>
        <v>78500</v>
      </c>
      <c r="F236" s="37">
        <v>0</v>
      </c>
      <c r="G236" s="37">
        <v>0</v>
      </c>
      <c r="H236" s="31">
        <f t="shared" si="75"/>
        <v>0</v>
      </c>
      <c r="I236" s="31">
        <f t="shared" si="73"/>
        <v>78500</v>
      </c>
      <c r="J236" s="31">
        <f t="shared" si="73"/>
        <v>0</v>
      </c>
      <c r="K236" s="31">
        <f t="shared" si="73"/>
        <v>78500</v>
      </c>
    </row>
    <row r="237" spans="1:11" s="29" customFormat="1" ht="12.75" customHeight="1">
      <c r="A237" s="35" t="s">
        <v>384</v>
      </c>
      <c r="B237" s="36" t="s">
        <v>385</v>
      </c>
      <c r="C237" s="37">
        <v>454833</v>
      </c>
      <c r="D237" s="37">
        <v>0</v>
      </c>
      <c r="E237" s="31">
        <f t="shared" si="74"/>
        <v>454833</v>
      </c>
      <c r="F237" s="37">
        <f>2700</f>
        <v>2700</v>
      </c>
      <c r="G237" s="37">
        <v>0</v>
      </c>
      <c r="H237" s="31">
        <f t="shared" si="75"/>
        <v>2700</v>
      </c>
      <c r="I237" s="31">
        <f t="shared" si="73"/>
        <v>457533</v>
      </c>
      <c r="J237" s="31">
        <f t="shared" si="73"/>
        <v>0</v>
      </c>
      <c r="K237" s="31">
        <f t="shared" si="73"/>
        <v>457533</v>
      </c>
    </row>
    <row r="238" spans="1:11" s="44" customFormat="1" ht="12.75" customHeight="1">
      <c r="A238" s="38" t="s">
        <v>386</v>
      </c>
      <c r="B238" s="39" t="s">
        <v>387</v>
      </c>
      <c r="C238" s="40">
        <v>170000</v>
      </c>
      <c r="D238" s="40">
        <v>0</v>
      </c>
      <c r="E238" s="41">
        <f>SUM(C238:D238)</f>
        <v>170000</v>
      </c>
      <c r="F238" s="40">
        <f>4500+10507+1603000</f>
        <v>1618007</v>
      </c>
      <c r="G238" s="40">
        <v>0</v>
      </c>
      <c r="H238" s="41">
        <f>F238+G238</f>
        <v>1618007</v>
      </c>
      <c r="I238" s="41">
        <f>C238+F238</f>
        <v>1788007</v>
      </c>
      <c r="J238" s="41">
        <f>D238+G238</f>
        <v>0</v>
      </c>
      <c r="K238" s="41">
        <f>E238+H238</f>
        <v>1788007</v>
      </c>
    </row>
    <row r="239" spans="1:11" ht="12.75" customHeight="1">
      <c r="A239" s="28">
        <v>80140</v>
      </c>
      <c r="B239" s="29" t="s">
        <v>388</v>
      </c>
      <c r="C239" s="30">
        <v>1445820</v>
      </c>
      <c r="D239" s="30">
        <v>0</v>
      </c>
      <c r="E239" s="31">
        <f t="shared" si="74"/>
        <v>1445820</v>
      </c>
      <c r="F239" s="37">
        <f>SUM(F240:F240)</f>
        <v>24000</v>
      </c>
      <c r="G239" s="37">
        <v>0</v>
      </c>
      <c r="H239" s="31">
        <f t="shared" si="75"/>
        <v>24000</v>
      </c>
      <c r="I239" s="31">
        <f t="shared" si="73"/>
        <v>1469820</v>
      </c>
      <c r="J239" s="31">
        <f t="shared" si="73"/>
        <v>0</v>
      </c>
      <c r="K239" s="31">
        <f t="shared" si="73"/>
        <v>1469820</v>
      </c>
    </row>
    <row r="240" spans="1:11" ht="12.75" customHeight="1">
      <c r="A240" s="52" t="s">
        <v>389</v>
      </c>
      <c r="B240" s="29" t="s">
        <v>390</v>
      </c>
      <c r="C240" s="30">
        <v>96200</v>
      </c>
      <c r="D240" s="30">
        <v>0</v>
      </c>
      <c r="E240" s="31">
        <f t="shared" si="74"/>
        <v>96200</v>
      </c>
      <c r="F240" s="37">
        <v>24000</v>
      </c>
      <c r="G240" s="37">
        <v>0</v>
      </c>
      <c r="H240" s="31">
        <f t="shared" si="75"/>
        <v>24000</v>
      </c>
      <c r="I240" s="31">
        <f aca="true" t="shared" si="76" ref="I240:K241">C240+F240</f>
        <v>120200</v>
      </c>
      <c r="J240" s="31">
        <f t="shared" si="76"/>
        <v>0</v>
      </c>
      <c r="K240" s="31">
        <f t="shared" si="76"/>
        <v>120200</v>
      </c>
    </row>
    <row r="241" spans="1:11" ht="12.75" customHeight="1">
      <c r="A241" s="6" t="s">
        <v>391</v>
      </c>
      <c r="B241" s="16" t="s">
        <v>392</v>
      </c>
      <c r="C241" s="17">
        <v>3045117</v>
      </c>
      <c r="D241" s="17">
        <v>3866841</v>
      </c>
      <c r="E241" s="9">
        <f t="shared" si="74"/>
        <v>6911958</v>
      </c>
      <c r="F241" s="17">
        <f>F244+F246+F252</f>
        <v>238538</v>
      </c>
      <c r="G241" s="17">
        <v>0</v>
      </c>
      <c r="H241" s="9">
        <f t="shared" si="75"/>
        <v>238538</v>
      </c>
      <c r="I241" s="9">
        <f t="shared" si="76"/>
        <v>3283655</v>
      </c>
      <c r="J241" s="9">
        <f t="shared" si="76"/>
        <v>3866841</v>
      </c>
      <c r="K241" s="9">
        <f t="shared" si="76"/>
        <v>7150496</v>
      </c>
    </row>
    <row r="242" spans="1:11" ht="12.75" customHeight="1">
      <c r="A242" s="18"/>
      <c r="B242" s="19" t="s">
        <v>393</v>
      </c>
      <c r="C242" s="20"/>
      <c r="D242" s="20"/>
      <c r="E242" s="11"/>
      <c r="F242" s="20"/>
      <c r="G242" s="20"/>
      <c r="H242" s="11"/>
      <c r="I242" s="11"/>
      <c r="J242" s="11"/>
      <c r="K242" s="11"/>
    </row>
    <row r="243" spans="1:11" ht="12.75" customHeight="1">
      <c r="A243" s="21"/>
      <c r="B243" s="22" t="s">
        <v>394</v>
      </c>
      <c r="C243" s="23">
        <v>80000</v>
      </c>
      <c r="D243" s="23">
        <v>0</v>
      </c>
      <c r="E243" s="13">
        <f>SUM(C243:D243)</f>
        <v>80000</v>
      </c>
      <c r="F243" s="23">
        <f>F245</f>
        <v>240000</v>
      </c>
      <c r="G243" s="23">
        <v>0</v>
      </c>
      <c r="H243" s="13">
        <f>F243+G243</f>
        <v>240000</v>
      </c>
      <c r="I243" s="13">
        <f>C243+F243</f>
        <v>320000</v>
      </c>
      <c r="J243" s="13">
        <f>D243+G243</f>
        <v>0</v>
      </c>
      <c r="K243" s="13">
        <f>E243+H243</f>
        <v>320000</v>
      </c>
    </row>
    <row r="244" spans="1:11" ht="12.75" customHeight="1">
      <c r="A244" s="32">
        <v>85201</v>
      </c>
      <c r="B244" s="33" t="s">
        <v>395</v>
      </c>
      <c r="C244" s="34">
        <v>479117</v>
      </c>
      <c r="D244" s="34">
        <v>2098066</v>
      </c>
      <c r="E244" s="27">
        <f>SUM(C244:D244)</f>
        <v>2577183</v>
      </c>
      <c r="F244" s="34">
        <f>SUM(F245:F245)</f>
        <v>240000</v>
      </c>
      <c r="G244" s="34">
        <v>0</v>
      </c>
      <c r="H244" s="27">
        <f>F244+G244</f>
        <v>240000</v>
      </c>
      <c r="I244" s="27">
        <f aca="true" t="shared" si="77" ref="I244:J256">C244+F244</f>
        <v>719117</v>
      </c>
      <c r="J244" s="27">
        <f t="shared" si="77"/>
        <v>2098066</v>
      </c>
      <c r="K244" s="27">
        <f>SUM(E244+H244)</f>
        <v>2817183</v>
      </c>
    </row>
    <row r="245" spans="1:11" ht="12.75" customHeight="1">
      <c r="A245" s="35" t="s">
        <v>396</v>
      </c>
      <c r="B245" s="36" t="s">
        <v>397</v>
      </c>
      <c r="C245" s="37">
        <v>0</v>
      </c>
      <c r="D245" s="37">
        <v>0</v>
      </c>
      <c r="E245" s="31">
        <f>SUM(C245:D245)</f>
        <v>0</v>
      </c>
      <c r="F245" s="37">
        <v>240000</v>
      </c>
      <c r="G245" s="37">
        <v>0</v>
      </c>
      <c r="H245" s="31">
        <f>F245+G245</f>
        <v>240000</v>
      </c>
      <c r="I245" s="31">
        <f t="shared" si="77"/>
        <v>240000</v>
      </c>
      <c r="J245" s="31">
        <f t="shared" si="77"/>
        <v>0</v>
      </c>
      <c r="K245" s="31">
        <f>E245+H245</f>
        <v>240000</v>
      </c>
    </row>
    <row r="246" spans="1:11" s="25" customFormat="1" ht="12.75" customHeight="1">
      <c r="A246" s="32">
        <v>85202</v>
      </c>
      <c r="B246" s="33" t="s">
        <v>398</v>
      </c>
      <c r="C246" s="34">
        <v>670000</v>
      </c>
      <c r="D246" s="34">
        <v>1750075</v>
      </c>
      <c r="E246" s="27">
        <f aca="true" t="shared" si="78" ref="E246:E251">SUM(C246:D246)</f>
        <v>2420075</v>
      </c>
      <c r="F246" s="34">
        <f>SUM(F247:F251)</f>
        <v>0</v>
      </c>
      <c r="G246" s="34">
        <f>SUM(G247:G251)</f>
        <v>0</v>
      </c>
      <c r="H246" s="27">
        <f aca="true" t="shared" si="79" ref="H246:H251">F246+G246</f>
        <v>0</v>
      </c>
      <c r="I246" s="27">
        <f t="shared" si="77"/>
        <v>670000</v>
      </c>
      <c r="J246" s="27">
        <f t="shared" si="77"/>
        <v>1750075</v>
      </c>
      <c r="K246" s="27">
        <f>SUM(E246+H246)</f>
        <v>2420075</v>
      </c>
    </row>
    <row r="247" spans="1:11" s="29" customFormat="1" ht="12.75" customHeight="1">
      <c r="A247" s="35" t="s">
        <v>399</v>
      </c>
      <c r="B247" s="36" t="s">
        <v>400</v>
      </c>
      <c r="C247" s="37">
        <v>0</v>
      </c>
      <c r="D247" s="37">
        <v>104500</v>
      </c>
      <c r="E247" s="31">
        <f t="shared" si="78"/>
        <v>104500</v>
      </c>
      <c r="F247" s="37">
        <v>0</v>
      </c>
      <c r="G247" s="37">
        <v>-7206</v>
      </c>
      <c r="H247" s="31">
        <f t="shared" si="79"/>
        <v>-7206</v>
      </c>
      <c r="I247" s="31">
        <f t="shared" si="77"/>
        <v>0</v>
      </c>
      <c r="J247" s="31">
        <f t="shared" si="77"/>
        <v>97294</v>
      </c>
      <c r="K247" s="31">
        <f>E247+H247</f>
        <v>97294</v>
      </c>
    </row>
    <row r="248" spans="1:11" s="29" customFormat="1" ht="12.75" customHeight="1">
      <c r="A248" s="35" t="s">
        <v>401</v>
      </c>
      <c r="B248" s="36" t="s">
        <v>402</v>
      </c>
      <c r="C248" s="37">
        <v>52740</v>
      </c>
      <c r="D248" s="37">
        <v>196496</v>
      </c>
      <c r="E248" s="31">
        <f t="shared" si="78"/>
        <v>249236</v>
      </c>
      <c r="F248" s="37">
        <v>0</v>
      </c>
      <c r="G248" s="37">
        <v>3220</v>
      </c>
      <c r="H248" s="31">
        <f t="shared" si="79"/>
        <v>3220</v>
      </c>
      <c r="I248" s="31">
        <f t="shared" si="77"/>
        <v>52740</v>
      </c>
      <c r="J248" s="31">
        <f t="shared" si="77"/>
        <v>199716</v>
      </c>
      <c r="K248" s="31">
        <f>E248+H248</f>
        <v>252456</v>
      </c>
    </row>
    <row r="249" spans="1:11" s="29" customFormat="1" ht="12.75" customHeight="1">
      <c r="A249" s="35" t="s">
        <v>403</v>
      </c>
      <c r="B249" s="36" t="s">
        <v>404</v>
      </c>
      <c r="C249" s="37">
        <v>4530</v>
      </c>
      <c r="D249" s="37">
        <v>29470</v>
      </c>
      <c r="E249" s="31">
        <f t="shared" si="78"/>
        <v>34000</v>
      </c>
      <c r="F249" s="37">
        <v>0</v>
      </c>
      <c r="G249" s="37">
        <v>1000</v>
      </c>
      <c r="H249" s="31">
        <f t="shared" si="79"/>
        <v>1000</v>
      </c>
      <c r="I249" s="31">
        <f t="shared" si="77"/>
        <v>4530</v>
      </c>
      <c r="J249" s="31">
        <f t="shared" si="77"/>
        <v>30470</v>
      </c>
      <c r="K249" s="31">
        <f>E249+H249</f>
        <v>35000</v>
      </c>
    </row>
    <row r="250" spans="1:11" s="29" customFormat="1" ht="12.75" customHeight="1">
      <c r="A250" s="35" t="s">
        <v>405</v>
      </c>
      <c r="B250" s="36" t="s">
        <v>406</v>
      </c>
      <c r="C250" s="37">
        <v>37800</v>
      </c>
      <c r="D250" s="37">
        <v>162939</v>
      </c>
      <c r="E250" s="31">
        <f t="shared" si="78"/>
        <v>200739</v>
      </c>
      <c r="F250" s="37">
        <v>0</v>
      </c>
      <c r="G250" s="37">
        <v>3000</v>
      </c>
      <c r="H250" s="31">
        <f t="shared" si="79"/>
        <v>3000</v>
      </c>
      <c r="I250" s="31">
        <f t="shared" si="77"/>
        <v>37800</v>
      </c>
      <c r="J250" s="31">
        <f t="shared" si="77"/>
        <v>165939</v>
      </c>
      <c r="K250" s="31">
        <f>E250+H250</f>
        <v>203739</v>
      </c>
    </row>
    <row r="251" spans="1:11" s="29" customFormat="1" ht="12.75" customHeight="1">
      <c r="A251" s="35" t="s">
        <v>407</v>
      </c>
      <c r="B251" s="36" t="s">
        <v>408</v>
      </c>
      <c r="C251" s="37">
        <v>4100</v>
      </c>
      <c r="D251" s="37">
        <v>17100</v>
      </c>
      <c r="E251" s="31">
        <f t="shared" si="78"/>
        <v>21200</v>
      </c>
      <c r="F251" s="37">
        <v>0</v>
      </c>
      <c r="G251" s="37">
        <v>-14</v>
      </c>
      <c r="H251" s="31">
        <f t="shared" si="79"/>
        <v>-14</v>
      </c>
      <c r="I251" s="31">
        <f t="shared" si="77"/>
        <v>4100</v>
      </c>
      <c r="J251" s="31">
        <f t="shared" si="77"/>
        <v>17086</v>
      </c>
      <c r="K251" s="31">
        <f>E251+H251</f>
        <v>21186</v>
      </c>
    </row>
    <row r="252" spans="1:11" ht="12.75" customHeight="1">
      <c r="A252" s="32">
        <v>85226</v>
      </c>
      <c r="B252" s="33" t="s">
        <v>409</v>
      </c>
      <c r="C252" s="34">
        <v>236000</v>
      </c>
      <c r="D252" s="34">
        <v>0</v>
      </c>
      <c r="E252" s="27">
        <f>SUM(C252:D252)</f>
        <v>236000</v>
      </c>
      <c r="F252" s="34">
        <f>SUM(F253:F253)</f>
        <v>-1462</v>
      </c>
      <c r="G252" s="34">
        <v>0</v>
      </c>
      <c r="H252" s="27">
        <f>F252+G252</f>
        <v>-1462</v>
      </c>
      <c r="I252" s="27">
        <f t="shared" si="77"/>
        <v>234538</v>
      </c>
      <c r="J252" s="27">
        <f t="shared" si="77"/>
        <v>0</v>
      </c>
      <c r="K252" s="27">
        <f>SUM(E252+H252)</f>
        <v>234538</v>
      </c>
    </row>
    <row r="253" spans="1:11" ht="12.75" customHeight="1">
      <c r="A253" s="38" t="s">
        <v>410</v>
      </c>
      <c r="B253" s="39" t="s">
        <v>411</v>
      </c>
      <c r="C253" s="40">
        <v>9230</v>
      </c>
      <c r="D253" s="40">
        <v>0</v>
      </c>
      <c r="E253" s="41">
        <f>SUM(C253:D253)</f>
        <v>9230</v>
      </c>
      <c r="F253" s="40">
        <v>-1462</v>
      </c>
      <c r="G253" s="40">
        <v>0</v>
      </c>
      <c r="H253" s="41">
        <f>F253+G253</f>
        <v>-1462</v>
      </c>
      <c r="I253" s="41">
        <f t="shared" si="77"/>
        <v>7768</v>
      </c>
      <c r="J253" s="41">
        <f t="shared" si="77"/>
        <v>0</v>
      </c>
      <c r="K253" s="41">
        <f>E253+H253</f>
        <v>7768</v>
      </c>
    </row>
    <row r="254" spans="1:11" ht="12.75" customHeight="1">
      <c r="A254" s="35"/>
      <c r="B254" s="36"/>
      <c r="C254" s="37"/>
      <c r="D254" s="37"/>
      <c r="E254" s="31"/>
      <c r="F254" s="37"/>
      <c r="G254" s="37"/>
      <c r="H254" s="31"/>
      <c r="I254" s="31"/>
      <c r="J254" s="31"/>
      <c r="K254" s="31"/>
    </row>
    <row r="255" spans="1:11" ht="12.75" customHeight="1">
      <c r="A255" s="35"/>
      <c r="B255" s="36"/>
      <c r="C255" s="37"/>
      <c r="D255" s="37"/>
      <c r="E255" s="31"/>
      <c r="F255" s="37"/>
      <c r="G255" s="37"/>
      <c r="H255" s="31"/>
      <c r="I255" s="31"/>
      <c r="J255" s="31"/>
      <c r="K255" s="31"/>
    </row>
    <row r="256" spans="1:11" ht="12.75" customHeight="1">
      <c r="A256" s="6" t="s">
        <v>412</v>
      </c>
      <c r="B256" s="16" t="s">
        <v>413</v>
      </c>
      <c r="C256" s="17">
        <v>32700</v>
      </c>
      <c r="D256" s="17">
        <v>115020</v>
      </c>
      <c r="E256" s="9">
        <f>SUM(C256:D256)</f>
        <v>147720</v>
      </c>
      <c r="F256" s="17">
        <f>F259</f>
        <v>1462</v>
      </c>
      <c r="G256" s="17">
        <f>G259</f>
        <v>0</v>
      </c>
      <c r="H256" s="9">
        <f>F256+G256</f>
        <v>1462</v>
      </c>
      <c r="I256" s="9">
        <f t="shared" si="77"/>
        <v>34162</v>
      </c>
      <c r="J256" s="9">
        <f t="shared" si="77"/>
        <v>115020</v>
      </c>
      <c r="K256" s="9">
        <f t="shared" si="77"/>
        <v>149182</v>
      </c>
    </row>
    <row r="257" spans="1:11" ht="12.75" customHeight="1">
      <c r="A257" s="18"/>
      <c r="B257" s="19" t="s">
        <v>414</v>
      </c>
      <c r="C257" s="20"/>
      <c r="D257" s="20"/>
      <c r="E257" s="11"/>
      <c r="F257" s="20"/>
      <c r="G257" s="20"/>
      <c r="H257" s="11"/>
      <c r="I257" s="11"/>
      <c r="J257" s="11"/>
      <c r="K257" s="11"/>
    </row>
    <row r="258" spans="1:11" ht="12.75" customHeight="1">
      <c r="A258" s="21"/>
      <c r="B258" s="22" t="s">
        <v>415</v>
      </c>
      <c r="C258" s="23">
        <v>0</v>
      </c>
      <c r="D258" s="23">
        <v>0</v>
      </c>
      <c r="E258" s="13">
        <f>SUM(C258:D258)</f>
        <v>0</v>
      </c>
      <c r="F258" s="23">
        <v>0</v>
      </c>
      <c r="G258" s="23">
        <v>0</v>
      </c>
      <c r="H258" s="13">
        <f>F258+G258</f>
        <v>0</v>
      </c>
      <c r="I258" s="13">
        <f aca="true" t="shared" si="80" ref="I258:K260">C258+F258</f>
        <v>0</v>
      </c>
      <c r="J258" s="13">
        <f t="shared" si="80"/>
        <v>0</v>
      </c>
      <c r="K258" s="13">
        <f t="shared" si="80"/>
        <v>0</v>
      </c>
    </row>
    <row r="259" spans="1:11" ht="12.75" customHeight="1">
      <c r="A259" s="24">
        <v>85395</v>
      </c>
      <c r="B259" s="25" t="s">
        <v>416</v>
      </c>
      <c r="C259" s="26">
        <v>15000</v>
      </c>
      <c r="D259" s="26">
        <v>0</v>
      </c>
      <c r="E259" s="27">
        <f>SUM(C259:D259)</f>
        <v>15000</v>
      </c>
      <c r="F259" s="26">
        <f>SUM(F260:F260)</f>
        <v>1462</v>
      </c>
      <c r="G259" s="26">
        <f>SUM(G260:G260)</f>
        <v>0</v>
      </c>
      <c r="H259" s="27">
        <f>F259+G259</f>
        <v>1462</v>
      </c>
      <c r="I259" s="27">
        <f t="shared" si="80"/>
        <v>16462</v>
      </c>
      <c r="J259" s="27">
        <f t="shared" si="80"/>
        <v>0</v>
      </c>
      <c r="K259" s="27">
        <f t="shared" si="80"/>
        <v>16462</v>
      </c>
    </row>
    <row r="260" spans="1:11" ht="12.75" customHeight="1">
      <c r="A260" s="43" t="s">
        <v>417</v>
      </c>
      <c r="B260" s="44" t="s">
        <v>418</v>
      </c>
      <c r="C260" s="45">
        <v>0</v>
      </c>
      <c r="D260" s="45">
        <v>0</v>
      </c>
      <c r="E260" s="41">
        <f>SUM(C260:D260)</f>
        <v>0</v>
      </c>
      <c r="F260" s="45">
        <v>1462</v>
      </c>
      <c r="G260" s="45">
        <v>0</v>
      </c>
      <c r="H260" s="41">
        <f>F260+G260</f>
        <v>1462</v>
      </c>
      <c r="I260" s="41">
        <f t="shared" si="80"/>
        <v>1462</v>
      </c>
      <c r="J260" s="41">
        <f t="shared" si="80"/>
        <v>0</v>
      </c>
      <c r="K260" s="41">
        <f t="shared" si="80"/>
        <v>1462</v>
      </c>
    </row>
    <row r="261" spans="1:11" ht="12.75" customHeight="1">
      <c r="A261" s="6" t="s">
        <v>419</v>
      </c>
      <c r="B261" s="16" t="s">
        <v>420</v>
      </c>
      <c r="C261" s="17">
        <v>130000</v>
      </c>
      <c r="D261" s="17">
        <v>0</v>
      </c>
      <c r="E261" s="9">
        <f>SUM(C261:D261)</f>
        <v>130000</v>
      </c>
      <c r="F261" s="17">
        <f>F264</f>
        <v>176500</v>
      </c>
      <c r="G261" s="17">
        <v>0</v>
      </c>
      <c r="H261" s="9">
        <f>F261+G261</f>
        <v>176500</v>
      </c>
      <c r="I261" s="9">
        <f>C261+F261</f>
        <v>306500</v>
      </c>
      <c r="J261" s="9">
        <f>D261+G261</f>
        <v>0</v>
      </c>
      <c r="K261" s="9">
        <f>E261+H261</f>
        <v>306500</v>
      </c>
    </row>
    <row r="262" spans="1:11" ht="12.75" customHeight="1">
      <c r="A262" s="18"/>
      <c r="B262" s="19" t="s">
        <v>421</v>
      </c>
      <c r="C262" s="20"/>
      <c r="D262" s="20"/>
      <c r="E262" s="11"/>
      <c r="F262" s="20"/>
      <c r="G262" s="20"/>
      <c r="H262" s="11"/>
      <c r="I262" s="11"/>
      <c r="J262" s="11"/>
      <c r="K262" s="11"/>
    </row>
    <row r="263" spans="1:11" ht="12.75" customHeight="1">
      <c r="A263" s="21"/>
      <c r="B263" s="22" t="s">
        <v>422</v>
      </c>
      <c r="C263" s="23">
        <v>0</v>
      </c>
      <c r="D263" s="23">
        <v>0</v>
      </c>
      <c r="E263" s="13">
        <f>SUM(C263:D263)</f>
        <v>0</v>
      </c>
      <c r="F263" s="23">
        <v>0</v>
      </c>
      <c r="G263" s="23">
        <v>0</v>
      </c>
      <c r="H263" s="13">
        <f>F263+G263</f>
        <v>0</v>
      </c>
      <c r="I263" s="13">
        <f aca="true" t="shared" si="81" ref="I263:K265">C263+F263</f>
        <v>0</v>
      </c>
      <c r="J263" s="13">
        <f t="shared" si="81"/>
        <v>0</v>
      </c>
      <c r="K263" s="13">
        <f t="shared" si="81"/>
        <v>0</v>
      </c>
    </row>
    <row r="264" spans="1:11" ht="12.75" customHeight="1">
      <c r="A264" s="32">
        <v>90095</v>
      </c>
      <c r="B264" s="33" t="s">
        <v>423</v>
      </c>
      <c r="C264" s="26">
        <v>130000</v>
      </c>
      <c r="D264" s="26">
        <v>0</v>
      </c>
      <c r="E264" s="27">
        <f>SUM(C264:D264)</f>
        <v>130000</v>
      </c>
      <c r="F264" s="34">
        <f>SUM(F265:F265)</f>
        <v>176500</v>
      </c>
      <c r="G264" s="34">
        <v>0</v>
      </c>
      <c r="H264" s="27">
        <f>F264+G264</f>
        <v>176500</v>
      </c>
      <c r="I264" s="27">
        <f t="shared" si="81"/>
        <v>306500</v>
      </c>
      <c r="J264" s="27">
        <f t="shared" si="81"/>
        <v>0</v>
      </c>
      <c r="K264" s="27">
        <f t="shared" si="81"/>
        <v>306500</v>
      </c>
    </row>
    <row r="265" spans="1:11" ht="12.75" customHeight="1">
      <c r="A265" s="38" t="s">
        <v>424</v>
      </c>
      <c r="B265" s="39" t="s">
        <v>425</v>
      </c>
      <c r="C265" s="45">
        <v>130000</v>
      </c>
      <c r="D265" s="45">
        <v>0</v>
      </c>
      <c r="E265" s="41">
        <f>SUM(C265:D265)</f>
        <v>130000</v>
      </c>
      <c r="F265" s="40">
        <v>176500</v>
      </c>
      <c r="G265" s="40">
        <v>0</v>
      </c>
      <c r="H265" s="41">
        <f>F265+G265</f>
        <v>176500</v>
      </c>
      <c r="I265" s="41">
        <f t="shared" si="81"/>
        <v>306500</v>
      </c>
      <c r="J265" s="41">
        <f t="shared" si="81"/>
        <v>0</v>
      </c>
      <c r="K265" s="41">
        <f t="shared" si="81"/>
        <v>306500</v>
      </c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</sheetData>
  <mergeCells count="12">
    <mergeCell ref="I1:J1"/>
    <mergeCell ref="I2:K2"/>
    <mergeCell ref="I3:K3"/>
    <mergeCell ref="I4:K4"/>
    <mergeCell ref="A6:K6"/>
    <mergeCell ref="A7:A8"/>
    <mergeCell ref="B7:B8"/>
    <mergeCell ref="C7:E7"/>
    <mergeCell ref="F7:H7"/>
    <mergeCell ref="I7:K7"/>
    <mergeCell ref="A13:K13"/>
    <mergeCell ref="A191:K191"/>
  </mergeCells>
  <printOptions/>
  <pageMargins left="0.19652777777777777" right="0.19652777777777777" top="0.39375" bottom="0.7875" header="0.5118055555555556" footer="0.5118055555555556"/>
  <pageSetup fitToHeight="0"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/>
  <cp:lastPrinted>2004-06-17T12:45:24Z</cp:lastPrinted>
  <dcterms:created xsi:type="dcterms:W3CDTF">2004-06-01T09:24:43Z</dcterms:created>
  <dcterms:modified xsi:type="dcterms:W3CDTF">2004-07-19T12:06:15Z</dcterms:modified>
  <cp:category/>
  <cp:version/>
  <cp:contentType/>
  <cp:contentStatus/>
  <cp:revision>1</cp:revision>
</cp:coreProperties>
</file>