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<sst xmlns="http://schemas.openxmlformats.org/spreadsheetml/2006/main" count="526" uniqueCount="163">
  <si>
    <t>ZMIANY  W  PLANIE  WYDATKÓW</t>
  </si>
  <si>
    <t>klasyfikacja budżetowa</t>
  </si>
  <si>
    <t>TREŚĆ</t>
  </si>
  <si>
    <t>Plan przed zmianą</t>
  </si>
  <si>
    <t>Zmiana (+):(-)</t>
  </si>
  <si>
    <t>Plan po zmianach</t>
  </si>
  <si>
    <t>śr. wł.</t>
  </si>
  <si>
    <t>dotacje</t>
  </si>
  <si>
    <t>Razem</t>
  </si>
  <si>
    <t>A + B</t>
  </si>
  <si>
    <t>WYDATKI OGÓŁEM   dotyczące zadań gminy                            i powiatu</t>
  </si>
  <si>
    <t>w tym:</t>
  </si>
  <si>
    <t>inwestycje</t>
  </si>
  <si>
    <t>WYDATKI  DOTYCZĄCE  ZADAŃ  GMINY</t>
  </si>
  <si>
    <t xml:space="preserve">A </t>
  </si>
  <si>
    <t>Wydatki ogółem</t>
  </si>
  <si>
    <t>w tym</t>
  </si>
  <si>
    <t>Dział 754</t>
  </si>
  <si>
    <t>Bezpieczeństwo publiczne</t>
  </si>
  <si>
    <t>Pozostała działalność</t>
  </si>
  <si>
    <t>§ 4300</t>
  </si>
  <si>
    <t>pozostałe usługi</t>
  </si>
  <si>
    <t>Dział 801</t>
  </si>
  <si>
    <t>Oświata i wychowanie</t>
  </si>
  <si>
    <t>Gimnazja</t>
  </si>
  <si>
    <t>§ 4270</t>
  </si>
  <si>
    <t>usługi remontowe</t>
  </si>
  <si>
    <t>WYDATKI  DOTYCZĄCE  ZADAŃ  POWIATU</t>
  </si>
  <si>
    <t>B</t>
  </si>
  <si>
    <t xml:space="preserve">Oświata i wychowanie </t>
  </si>
  <si>
    <t>Rady Miasta Piotrkowa Tryb.</t>
  </si>
  <si>
    <t>§ 6060</t>
  </si>
  <si>
    <t>zakupy inwestycyjne</t>
  </si>
  <si>
    <t>§ 4010</t>
  </si>
  <si>
    <t>§ 4110</t>
  </si>
  <si>
    <t>§ 4120</t>
  </si>
  <si>
    <t>§ 4210</t>
  </si>
  <si>
    <t>wynagrodzenia</t>
  </si>
  <si>
    <t>składki na ubezpieczenia społ.</t>
  </si>
  <si>
    <t>składki na FP</t>
  </si>
  <si>
    <t>materiały i wyposażenie</t>
  </si>
  <si>
    <t>Doskonalenie i dokształcanie</t>
  </si>
  <si>
    <t>§ 4220</t>
  </si>
  <si>
    <t>środki żywności</t>
  </si>
  <si>
    <t>Dział 853</t>
  </si>
  <si>
    <t>Opieka społeczna</t>
  </si>
  <si>
    <t>Szkoły zawodowe</t>
  </si>
  <si>
    <t>§ 3110</t>
  </si>
  <si>
    <t>świadczenie społeczne</t>
  </si>
  <si>
    <t>§ 4240</t>
  </si>
  <si>
    <t>Szkoły podstawowe</t>
  </si>
  <si>
    <t>Dział 900</t>
  </si>
  <si>
    <t>§ 6050</t>
  </si>
  <si>
    <t>§ 4260</t>
  </si>
  <si>
    <t>§ 4230</t>
  </si>
  <si>
    <t>energia</t>
  </si>
  <si>
    <t>§ 3020</t>
  </si>
  <si>
    <t>§ 4410</t>
  </si>
  <si>
    <t>§ 4430</t>
  </si>
  <si>
    <t>podróże służbowe krajowe</t>
  </si>
  <si>
    <t>różne opłaty i składki</t>
  </si>
  <si>
    <t>Dokształcanie i doskonalenie</t>
  </si>
  <si>
    <t>Załącznik nr 2</t>
  </si>
  <si>
    <t>Dział 751</t>
  </si>
  <si>
    <t>§ 3030</t>
  </si>
  <si>
    <t>różne wyd.na rzecz osób fiz.</t>
  </si>
  <si>
    <t>Ośrodki pomocy społecznej</t>
  </si>
  <si>
    <t>Dział 854</t>
  </si>
  <si>
    <t>Licea ogólnokształcące</t>
  </si>
  <si>
    <t>Dział 710</t>
  </si>
  <si>
    <t>Działalność usługowa</t>
  </si>
  <si>
    <t>Dział 600</t>
  </si>
  <si>
    <t>Transport i łączność</t>
  </si>
  <si>
    <t>Drogi gminne</t>
  </si>
  <si>
    <t>wydatki na inwestycyjne</t>
  </si>
  <si>
    <t>Dział 700</t>
  </si>
  <si>
    <t>Gospodarka mieszkaniowa</t>
  </si>
  <si>
    <t>Zakłady gospodarki komun.</t>
  </si>
  <si>
    <t>§ 4590</t>
  </si>
  <si>
    <t>kary i odszkodowania</t>
  </si>
  <si>
    <t>nagr.i wynagr.nie zal.do wynagr.</t>
  </si>
  <si>
    <t>Urzędy naczeln.organ.wł.</t>
  </si>
  <si>
    <t>Przedszkola przy sp</t>
  </si>
  <si>
    <t>§ 3250</t>
  </si>
  <si>
    <t>stypendia różne</t>
  </si>
  <si>
    <t>§ 4040</t>
  </si>
  <si>
    <t>dodatkowe wynagrodzenie</t>
  </si>
  <si>
    <t>pomoce naukowe i dydaktycz</t>
  </si>
  <si>
    <t>MZEA</t>
  </si>
  <si>
    <t>Dział 851</t>
  </si>
  <si>
    <t>Ochrona zdrowia</t>
  </si>
  <si>
    <t>Przeciwdziałalnie alkoholizm.</t>
  </si>
  <si>
    <t>Ośrodki wsparcia</t>
  </si>
  <si>
    <t>Dodatki mieszkaniowe</t>
  </si>
  <si>
    <t>Zasiłki rodzinne, pielęgnacyjn</t>
  </si>
  <si>
    <t>skłądki na FP</t>
  </si>
  <si>
    <t>Edukacyjna opieka wych.</t>
  </si>
  <si>
    <t>Świetlice szkolne</t>
  </si>
  <si>
    <t xml:space="preserve">wynagrodzenia </t>
  </si>
  <si>
    <t>Przedszkola</t>
  </si>
  <si>
    <t xml:space="preserve">Gospodarka komunalna </t>
  </si>
  <si>
    <t>Oczyszczanie miast i gmin</t>
  </si>
  <si>
    <t>§ 4100</t>
  </si>
  <si>
    <t>wynagrodzenia agencyjn.-pro</t>
  </si>
  <si>
    <t>różne składki i opłaty</t>
  </si>
  <si>
    <t>§ 2820</t>
  </si>
  <si>
    <t>dotacje cel.dla stowarzyszeń</t>
  </si>
  <si>
    <t>Dział 926</t>
  </si>
  <si>
    <t>Instytucje kultury fizycznej</t>
  </si>
  <si>
    <t>Zadania w zakr.kult.fizycz.</t>
  </si>
  <si>
    <t>§ 2830</t>
  </si>
  <si>
    <t>dotacje cel.dla pozostał jed.</t>
  </si>
  <si>
    <t>Nadzór budowlany</t>
  </si>
  <si>
    <t>Szkoły podstawowe specjalne</t>
  </si>
  <si>
    <t>Gimanzja specjalne</t>
  </si>
  <si>
    <t>wydatki na inwestycje</t>
  </si>
  <si>
    <t>Centra kształcenia ustaw.i pr.</t>
  </si>
  <si>
    <t>składki na ubezpieczenia społ</t>
  </si>
  <si>
    <t>Domy pomocy społecznej</t>
  </si>
  <si>
    <t>składki na ubezpieczenie społ.</t>
  </si>
  <si>
    <t>Specjalny ośrodek szkol.-wych</t>
  </si>
  <si>
    <t>zakup leków</t>
  </si>
  <si>
    <t>Poradnia psychologiczno-ped</t>
  </si>
  <si>
    <t>Internaty i bursa szkolna</t>
  </si>
  <si>
    <t>Szkolne schroniska młodzież.</t>
  </si>
  <si>
    <t>Oświatlenie ulic</t>
  </si>
  <si>
    <t>Placówki opiekuńczo-wychow.</t>
  </si>
  <si>
    <t>Ośrodki opiekuńczo-wychow.</t>
  </si>
  <si>
    <t>odszkodowania</t>
  </si>
  <si>
    <t>Obrona cywilna</t>
  </si>
  <si>
    <t>wydatki inwestycyjne</t>
  </si>
  <si>
    <t>Dział 010</t>
  </si>
  <si>
    <t>Rolnictwo i łowiectwo</t>
  </si>
  <si>
    <t>01030</t>
  </si>
  <si>
    <t>§ 2850</t>
  </si>
  <si>
    <t>Izby rolnicze</t>
  </si>
  <si>
    <t>wpł.gmin na rzecz izb rolnicz.</t>
  </si>
  <si>
    <t>doatcje dla stowarzyszeń</t>
  </si>
  <si>
    <t>dotacje dla stowarzyszeń</t>
  </si>
  <si>
    <t>składki na  FP</t>
  </si>
  <si>
    <t>leki</t>
  </si>
  <si>
    <t>Dział 758</t>
  </si>
  <si>
    <t>Różne rozliczenia</t>
  </si>
  <si>
    <t>§ 4810</t>
  </si>
  <si>
    <t>rezerwa ogólna</t>
  </si>
  <si>
    <t>Komendy powiatowe PSP</t>
  </si>
  <si>
    <t>Zasiłki rodzinne, pielęgnacyjne</t>
  </si>
  <si>
    <t>świadczenia społeczne</t>
  </si>
  <si>
    <t>Dział 750</t>
  </si>
  <si>
    <t>Administracja publiczna</t>
  </si>
  <si>
    <t>Komisje poborowe</t>
  </si>
  <si>
    <t>różne wyd.na rzecz os. fiz.</t>
  </si>
  <si>
    <t>Rezerwa ogólna</t>
  </si>
  <si>
    <t>rezerwa na zdarzenia kryzys.</t>
  </si>
  <si>
    <t>Referenda ogólnokrajowe</t>
  </si>
  <si>
    <t xml:space="preserve">Drogi publiczne </t>
  </si>
  <si>
    <t>§ 4020</t>
  </si>
  <si>
    <t>wynagro.os.czł.korp.sł.cyw.</t>
  </si>
  <si>
    <t>rezerwa na Fund.Por.Kred.</t>
  </si>
  <si>
    <t>narg.i wyd. os.niezal.do wynagr.</t>
  </si>
  <si>
    <t>Kultura fizyczna i sport</t>
  </si>
  <si>
    <t>do Uchwały Nr IV/209/2003</t>
  </si>
  <si>
    <t>z dnia    10 grudnia 2003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</si>
</sst>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right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 horizontal="right"/>
    </xf>
    <xf numFmtId="3" fontId="0" fillId="0" borderId="3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/>
    </xf>
    <xf numFmtId="0" fontId="0" fillId="0" borderId="4" xfId="0" applyBorder="1" applyAlignment="1">
      <alignment/>
    </xf>
    <xf numFmtId="3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right"/>
    </xf>
    <xf numFmtId="3" fontId="0" fillId="0" borderId="4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right"/>
    </xf>
    <xf numFmtId="0" fontId="0" fillId="0" borderId="5" xfId="0" applyBorder="1" applyAlignment="1">
      <alignment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3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6" xfId="0" applyNumberFormat="1" applyBorder="1" applyAlignment="1">
      <alignment horizontal="right"/>
    </xf>
    <xf numFmtId="3" fontId="0" fillId="0" borderId="6" xfId="0" applyNumberFormat="1" applyFont="1" applyBorder="1" applyAlignment="1">
      <alignment horizontal="right" vertical="center" wrapText="1"/>
    </xf>
    <xf numFmtId="3" fontId="0" fillId="0" borderId="8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5"/>
  <sheetViews>
    <sheetView tabSelected="1" workbookViewId="0" topLeftCell="C1">
      <selection activeCell="H10" sqref="H10"/>
    </sheetView>
  </sheetViews>
  <sheetFormatPr defaultColWidth="9.00390625" defaultRowHeight="12.75"/>
  <cols>
    <col min="1" max="1" width="12.75390625" style="0" customWidth="1"/>
    <col min="2" max="2" width="26.875" style="0" customWidth="1"/>
    <col min="3" max="3" width="10.875" style="0" customWidth="1"/>
    <col min="4" max="4" width="11.125" style="0" customWidth="1"/>
    <col min="5" max="5" width="11.625" style="0" customWidth="1"/>
    <col min="6" max="6" width="9.875" style="0" bestFit="1" customWidth="1"/>
    <col min="8" max="8" width="10.25390625" style="0" customWidth="1"/>
    <col min="9" max="9" width="11.75390625" style="0" customWidth="1"/>
    <col min="10" max="10" width="10.00390625" style="0" customWidth="1"/>
    <col min="11" max="11" width="10.875" style="0" customWidth="1"/>
  </cols>
  <sheetData>
    <row r="1" spans="9:11" ht="15" customHeight="1">
      <c r="I1" s="51" t="s">
        <v>62</v>
      </c>
      <c r="J1" s="51"/>
      <c r="K1" s="51"/>
    </row>
    <row r="2" spans="9:11" ht="15" customHeight="1">
      <c r="I2" s="51" t="s">
        <v>161</v>
      </c>
      <c r="J2" s="51"/>
      <c r="K2" s="51"/>
    </row>
    <row r="3" spans="9:11" ht="15" customHeight="1">
      <c r="I3" s="51" t="s">
        <v>30</v>
      </c>
      <c r="J3" s="51"/>
      <c r="K3" s="51"/>
    </row>
    <row r="4" spans="9:11" ht="15" customHeight="1">
      <c r="I4" s="51" t="s">
        <v>162</v>
      </c>
      <c r="J4" s="51"/>
      <c r="K4" s="51"/>
    </row>
    <row r="5" spans="9:11" ht="15" customHeight="1">
      <c r="I5" s="1"/>
      <c r="J5" s="1"/>
      <c r="K5" s="1"/>
    </row>
    <row r="6" spans="1:11" ht="35.25" customHeight="1">
      <c r="A6" s="56" t="s">
        <v>0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15" customHeight="1">
      <c r="A7" s="57" t="s">
        <v>1</v>
      </c>
      <c r="B7" s="57" t="s">
        <v>2</v>
      </c>
      <c r="C7" s="58" t="s">
        <v>3</v>
      </c>
      <c r="D7" s="58"/>
      <c r="E7" s="58"/>
      <c r="F7" s="58" t="s">
        <v>4</v>
      </c>
      <c r="G7" s="58"/>
      <c r="H7" s="58"/>
      <c r="I7" s="58" t="s">
        <v>5</v>
      </c>
      <c r="J7" s="58"/>
      <c r="K7" s="58"/>
    </row>
    <row r="8" spans="1:11" ht="21" customHeight="1">
      <c r="A8" s="57"/>
      <c r="B8" s="57"/>
      <c r="C8" s="2" t="s">
        <v>6</v>
      </c>
      <c r="D8" s="2" t="s">
        <v>7</v>
      </c>
      <c r="E8" s="2" t="s">
        <v>8</v>
      </c>
      <c r="F8" s="2" t="s">
        <v>6</v>
      </c>
      <c r="G8" s="2" t="s">
        <v>7</v>
      </c>
      <c r="H8" s="2" t="s">
        <v>8</v>
      </c>
      <c r="I8" s="2" t="s">
        <v>6</v>
      </c>
      <c r="J8" s="2" t="s">
        <v>7</v>
      </c>
      <c r="K8" s="2" t="s">
        <v>8</v>
      </c>
    </row>
    <row r="9" spans="1:11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</row>
    <row r="10" spans="1:11" s="20" customFormat="1" ht="37.5" customHeight="1">
      <c r="A10" s="3" t="s">
        <v>9</v>
      </c>
      <c r="B10" s="4" t="s">
        <v>10</v>
      </c>
      <c r="C10" s="5">
        <v>140924831</v>
      </c>
      <c r="D10" s="5">
        <v>23184080</v>
      </c>
      <c r="E10" s="5">
        <f>SUM(C10:D10)</f>
        <v>164108911</v>
      </c>
      <c r="F10" s="5">
        <f>F14+F175</f>
        <v>-1760999</v>
      </c>
      <c r="G10" s="5">
        <f>G14+G175</f>
        <v>56608</v>
      </c>
      <c r="H10" s="5">
        <f>SUM(F10:G10)</f>
        <v>-1704391</v>
      </c>
      <c r="I10" s="5">
        <f>C10+F10</f>
        <v>139163832</v>
      </c>
      <c r="J10" s="5">
        <f>D10+G10</f>
        <v>23240688</v>
      </c>
      <c r="K10" s="5">
        <f>E10+H10</f>
        <v>162404520</v>
      </c>
    </row>
    <row r="11" spans="1:11" s="25" customFormat="1" ht="15" customHeight="1">
      <c r="A11" s="6"/>
      <c r="B11" s="6" t="s">
        <v>11</v>
      </c>
      <c r="C11" s="7"/>
      <c r="D11" s="7"/>
      <c r="E11" s="7"/>
      <c r="F11" s="7"/>
      <c r="G11" s="7"/>
      <c r="H11" s="7"/>
      <c r="I11" s="7"/>
      <c r="J11" s="7"/>
      <c r="K11" s="7"/>
    </row>
    <row r="12" spans="1:11" s="29" customFormat="1" ht="15" customHeight="1">
      <c r="A12" s="8"/>
      <c r="B12" s="8" t="s">
        <v>12</v>
      </c>
      <c r="C12" s="9">
        <v>12478698</v>
      </c>
      <c r="D12" s="9">
        <v>305132</v>
      </c>
      <c r="E12" s="9">
        <f>SUM(C12:D12)</f>
        <v>12783830</v>
      </c>
      <c r="F12" s="9">
        <f>F16+F177</f>
        <v>-609400</v>
      </c>
      <c r="G12" s="9">
        <f>G16+G177</f>
        <v>4000</v>
      </c>
      <c r="H12" s="9">
        <f>SUM(F12:G12)</f>
        <v>-605400</v>
      </c>
      <c r="I12" s="9">
        <f>C12+F12</f>
        <v>11869298</v>
      </c>
      <c r="J12" s="9">
        <f>D12+G12</f>
        <v>309132</v>
      </c>
      <c r="K12" s="9">
        <f>E12+H12</f>
        <v>12178430</v>
      </c>
    </row>
    <row r="13" spans="1:11" ht="23.25" customHeight="1">
      <c r="A13" s="55" t="s">
        <v>13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s="20" customFormat="1" ht="15" customHeight="1">
      <c r="A14" s="10" t="s">
        <v>14</v>
      </c>
      <c r="B14" s="11" t="s">
        <v>15</v>
      </c>
      <c r="C14" s="12">
        <v>100283840</v>
      </c>
      <c r="D14" s="12">
        <v>10140690</v>
      </c>
      <c r="E14" s="5">
        <f>SUM(C14:D14)</f>
        <v>110424530</v>
      </c>
      <c r="F14" s="12">
        <f>F17+F22+F30+F39+F44+F51+F59+F100+F106+F124+F143+F161</f>
        <v>-1411323</v>
      </c>
      <c r="G14" s="12">
        <f>G17+G22+G30+G39+G44+G59+G100+G106+G124+G143+G161</f>
        <v>-29479</v>
      </c>
      <c r="H14" s="5">
        <f>SUM(F14:G14)</f>
        <v>-1440802</v>
      </c>
      <c r="I14" s="5">
        <f>C14+F14</f>
        <v>98872517</v>
      </c>
      <c r="J14" s="5">
        <f>D14+G14</f>
        <v>10111211</v>
      </c>
      <c r="K14" s="5">
        <f>E14+H14</f>
        <v>108983728</v>
      </c>
    </row>
    <row r="15" spans="1:11" s="25" customFormat="1" ht="15" customHeight="1">
      <c r="A15" s="13"/>
      <c r="B15" s="14" t="s">
        <v>16</v>
      </c>
      <c r="C15" s="15"/>
      <c r="D15" s="15"/>
      <c r="E15" s="15"/>
      <c r="F15" s="15"/>
      <c r="G15" s="15"/>
      <c r="H15" s="7"/>
      <c r="I15" s="7"/>
      <c r="J15" s="7"/>
      <c r="K15" s="7"/>
    </row>
    <row r="16" spans="1:11" s="29" customFormat="1" ht="15" customHeight="1">
      <c r="A16" s="16"/>
      <c r="B16" s="17" t="s">
        <v>12</v>
      </c>
      <c r="C16" s="18">
        <v>9243198</v>
      </c>
      <c r="D16" s="18">
        <v>301482</v>
      </c>
      <c r="E16" s="9">
        <f>SUM(C16:D16)</f>
        <v>9544680</v>
      </c>
      <c r="F16" s="18">
        <f>F19+F24+F32+F41+F46+F61+F102+F108+F126+F145+F163</f>
        <v>-523400</v>
      </c>
      <c r="G16" s="18">
        <f>G19+G24+G32+G41+G46+G61+G102+G108+G126+G145+G163</f>
        <v>0</v>
      </c>
      <c r="H16" s="9">
        <f>SUM(F16:G16)</f>
        <v>-523400</v>
      </c>
      <c r="I16" s="9">
        <f aca="true" t="shared" si="0" ref="I16:K17">C16+F16</f>
        <v>8719798</v>
      </c>
      <c r="J16" s="9">
        <f t="shared" si="0"/>
        <v>301482</v>
      </c>
      <c r="K16" s="9">
        <f t="shared" si="0"/>
        <v>9021280</v>
      </c>
    </row>
    <row r="17" spans="1:11" s="20" customFormat="1" ht="15" customHeight="1">
      <c r="A17" s="10" t="s">
        <v>131</v>
      </c>
      <c r="B17" s="11" t="s">
        <v>132</v>
      </c>
      <c r="C17" s="12">
        <v>16600</v>
      </c>
      <c r="D17" s="12">
        <v>0</v>
      </c>
      <c r="E17" s="5">
        <f>SUM(C17:D17)</f>
        <v>16600</v>
      </c>
      <c r="F17" s="12">
        <f>F20</f>
        <v>1800</v>
      </c>
      <c r="G17" s="12">
        <v>0</v>
      </c>
      <c r="H17" s="5">
        <f>F17+G17</f>
        <v>1800</v>
      </c>
      <c r="I17" s="5">
        <f t="shared" si="0"/>
        <v>18400</v>
      </c>
      <c r="J17" s="5">
        <f t="shared" si="0"/>
        <v>0</v>
      </c>
      <c r="K17" s="5">
        <f t="shared" si="0"/>
        <v>18400</v>
      </c>
    </row>
    <row r="18" spans="1:11" s="25" customFormat="1" ht="15" customHeight="1">
      <c r="A18" s="13"/>
      <c r="B18" s="14" t="s">
        <v>11</v>
      </c>
      <c r="C18" s="15"/>
      <c r="D18" s="15"/>
      <c r="E18" s="7"/>
      <c r="F18" s="15"/>
      <c r="G18" s="15"/>
      <c r="H18" s="7"/>
      <c r="I18" s="7"/>
      <c r="J18" s="7"/>
      <c r="K18" s="7"/>
    </row>
    <row r="19" spans="1:11" s="29" customFormat="1" ht="15" customHeight="1">
      <c r="A19" s="16"/>
      <c r="B19" s="17" t="s">
        <v>12</v>
      </c>
      <c r="C19" s="18">
        <v>0</v>
      </c>
      <c r="D19" s="18">
        <v>0</v>
      </c>
      <c r="E19" s="9">
        <f>SUM(C19:D19)</f>
        <v>0</v>
      </c>
      <c r="F19" s="18">
        <v>0</v>
      </c>
      <c r="G19" s="18">
        <v>0</v>
      </c>
      <c r="H19" s="9">
        <f>F19+G19</f>
        <v>0</v>
      </c>
      <c r="I19" s="9">
        <f aca="true" t="shared" si="1" ref="I19:K22">C19+F19</f>
        <v>0</v>
      </c>
      <c r="J19" s="9">
        <f t="shared" si="1"/>
        <v>0</v>
      </c>
      <c r="K19" s="9">
        <f t="shared" si="1"/>
        <v>0</v>
      </c>
    </row>
    <row r="20" spans="1:11" s="20" customFormat="1" ht="15" customHeight="1">
      <c r="A20" s="46" t="s">
        <v>133</v>
      </c>
      <c r="B20" s="20" t="s">
        <v>135</v>
      </c>
      <c r="C20" s="21">
        <v>3000</v>
      </c>
      <c r="D20" s="21">
        <v>0</v>
      </c>
      <c r="E20" s="22">
        <f>SUM(C20:D20)</f>
        <v>3000</v>
      </c>
      <c r="F20" s="21">
        <f>SUM(F21:F21)</f>
        <v>1800</v>
      </c>
      <c r="G20" s="21">
        <f>SUM(G21:G21)</f>
        <v>0</v>
      </c>
      <c r="H20" s="22">
        <f>F20+G20</f>
        <v>1800</v>
      </c>
      <c r="I20" s="22">
        <f t="shared" si="1"/>
        <v>4800</v>
      </c>
      <c r="J20" s="22">
        <f t="shared" si="1"/>
        <v>0</v>
      </c>
      <c r="K20" s="22">
        <f t="shared" si="1"/>
        <v>4800</v>
      </c>
    </row>
    <row r="21" spans="1:11" s="29" customFormat="1" ht="15" customHeight="1">
      <c r="A21" s="31" t="s">
        <v>134</v>
      </c>
      <c r="B21" s="29" t="s">
        <v>136</v>
      </c>
      <c r="C21" s="32">
        <v>3000</v>
      </c>
      <c r="D21" s="32">
        <v>0</v>
      </c>
      <c r="E21" s="33">
        <f>SUM(C21:D21)</f>
        <v>3000</v>
      </c>
      <c r="F21" s="32">
        <v>1800</v>
      </c>
      <c r="G21" s="32">
        <v>0</v>
      </c>
      <c r="H21" s="33">
        <f>F21+G21</f>
        <v>1800</v>
      </c>
      <c r="I21" s="33">
        <f t="shared" si="1"/>
        <v>4800</v>
      </c>
      <c r="J21" s="33">
        <f t="shared" si="1"/>
        <v>0</v>
      </c>
      <c r="K21" s="33">
        <f t="shared" si="1"/>
        <v>4800</v>
      </c>
    </row>
    <row r="22" spans="1:11" s="20" customFormat="1" ht="15" customHeight="1">
      <c r="A22" s="10" t="s">
        <v>71</v>
      </c>
      <c r="B22" s="11" t="s">
        <v>72</v>
      </c>
      <c r="C22" s="12">
        <v>8258688</v>
      </c>
      <c r="D22" s="12">
        <v>0</v>
      </c>
      <c r="E22" s="5">
        <f>SUM(C22:D22)</f>
        <v>8258688</v>
      </c>
      <c r="F22" s="12">
        <f>F25</f>
        <v>-543423</v>
      </c>
      <c r="G22" s="12">
        <v>0</v>
      </c>
      <c r="H22" s="5">
        <f>F22+G22</f>
        <v>-543423</v>
      </c>
      <c r="I22" s="5">
        <f t="shared" si="1"/>
        <v>7715265</v>
      </c>
      <c r="J22" s="5">
        <f t="shared" si="1"/>
        <v>0</v>
      </c>
      <c r="K22" s="5">
        <f t="shared" si="1"/>
        <v>7715265</v>
      </c>
    </row>
    <row r="23" spans="1:11" s="25" customFormat="1" ht="15" customHeight="1">
      <c r="A23" s="13"/>
      <c r="B23" s="14" t="s">
        <v>11</v>
      </c>
      <c r="C23" s="15"/>
      <c r="D23" s="15"/>
      <c r="E23" s="7"/>
      <c r="F23" s="15"/>
      <c r="G23" s="15"/>
      <c r="H23" s="7"/>
      <c r="I23" s="7"/>
      <c r="J23" s="7"/>
      <c r="K23" s="7"/>
    </row>
    <row r="24" spans="1:11" s="29" customFormat="1" ht="14.25" customHeight="1">
      <c r="A24" s="16"/>
      <c r="B24" s="17" t="s">
        <v>12</v>
      </c>
      <c r="C24" s="18">
        <v>3587000</v>
      </c>
      <c r="D24" s="18">
        <v>0</v>
      </c>
      <c r="E24" s="9">
        <f aca="true" t="shared" si="2" ref="E24:E30">SUM(C24:D24)</f>
        <v>3587000</v>
      </c>
      <c r="F24" s="18">
        <f>F29</f>
        <v>-116000</v>
      </c>
      <c r="G24" s="18">
        <v>0</v>
      </c>
      <c r="H24" s="9">
        <f aca="true" t="shared" si="3" ref="H24:H30">F24+G24</f>
        <v>-116000</v>
      </c>
      <c r="I24" s="9">
        <f aca="true" t="shared" si="4" ref="I24:K30">C24+F24</f>
        <v>3471000</v>
      </c>
      <c r="J24" s="9">
        <f t="shared" si="4"/>
        <v>0</v>
      </c>
      <c r="K24" s="9">
        <f t="shared" si="4"/>
        <v>3471000</v>
      </c>
    </row>
    <row r="25" spans="1:11" s="20" customFormat="1" ht="15" customHeight="1">
      <c r="A25" s="19">
        <v>60016</v>
      </c>
      <c r="B25" s="20" t="s">
        <v>73</v>
      </c>
      <c r="C25" s="21">
        <v>5505188</v>
      </c>
      <c r="D25" s="21">
        <v>0</v>
      </c>
      <c r="E25" s="22">
        <f t="shared" si="2"/>
        <v>5505188</v>
      </c>
      <c r="F25" s="21">
        <f>SUM(F26:F29)</f>
        <v>-543423</v>
      </c>
      <c r="G25" s="21">
        <f>SUM(G29:G29)</f>
        <v>0</v>
      </c>
      <c r="H25" s="22">
        <f t="shared" si="3"/>
        <v>-543423</v>
      </c>
      <c r="I25" s="22">
        <f t="shared" si="4"/>
        <v>4961765</v>
      </c>
      <c r="J25" s="22">
        <f t="shared" si="4"/>
        <v>0</v>
      </c>
      <c r="K25" s="22">
        <f t="shared" si="4"/>
        <v>4961765</v>
      </c>
    </row>
    <row r="26" spans="1:11" s="25" customFormat="1" ht="15" customHeight="1">
      <c r="A26" s="24" t="s">
        <v>25</v>
      </c>
      <c r="B26" s="25" t="s">
        <v>26</v>
      </c>
      <c r="C26" s="26">
        <v>1868188</v>
      </c>
      <c r="D26" s="26">
        <v>0</v>
      </c>
      <c r="E26" s="27">
        <f t="shared" si="2"/>
        <v>1868188</v>
      </c>
      <c r="F26" s="26">
        <f>-392491</f>
        <v>-392491</v>
      </c>
      <c r="G26" s="26">
        <v>0</v>
      </c>
      <c r="H26" s="27">
        <f t="shared" si="3"/>
        <v>-392491</v>
      </c>
      <c r="I26" s="27">
        <f t="shared" si="4"/>
        <v>1475697</v>
      </c>
      <c r="J26" s="27">
        <f t="shared" si="4"/>
        <v>0</v>
      </c>
      <c r="K26" s="27">
        <f t="shared" si="4"/>
        <v>1475697</v>
      </c>
    </row>
    <row r="27" spans="1:11" s="25" customFormat="1" ht="15" customHeight="1">
      <c r="A27" s="24" t="s">
        <v>20</v>
      </c>
      <c r="B27" s="25" t="s">
        <v>21</v>
      </c>
      <c r="C27" s="26">
        <v>40000</v>
      </c>
      <c r="D27" s="26">
        <v>0</v>
      </c>
      <c r="E27" s="27">
        <f t="shared" si="2"/>
        <v>40000</v>
      </c>
      <c r="F27" s="26">
        <v>-38932</v>
      </c>
      <c r="G27" s="26">
        <v>0</v>
      </c>
      <c r="H27" s="27">
        <f t="shared" si="3"/>
        <v>-38932</v>
      </c>
      <c r="I27" s="27">
        <f aca="true" t="shared" si="5" ref="I27:K28">C27+F27</f>
        <v>1068</v>
      </c>
      <c r="J27" s="27">
        <f t="shared" si="5"/>
        <v>0</v>
      </c>
      <c r="K27" s="27">
        <f t="shared" si="5"/>
        <v>1068</v>
      </c>
    </row>
    <row r="28" spans="1:11" s="25" customFormat="1" ht="15" customHeight="1">
      <c r="A28" s="24" t="s">
        <v>78</v>
      </c>
      <c r="B28" s="25" t="s">
        <v>128</v>
      </c>
      <c r="C28" s="26">
        <v>10000</v>
      </c>
      <c r="D28" s="26">
        <v>0</v>
      </c>
      <c r="E28" s="27">
        <f t="shared" si="2"/>
        <v>10000</v>
      </c>
      <c r="F28" s="26">
        <v>4000</v>
      </c>
      <c r="G28" s="26">
        <v>0</v>
      </c>
      <c r="H28" s="27">
        <f t="shared" si="3"/>
        <v>4000</v>
      </c>
      <c r="I28" s="27">
        <f t="shared" si="5"/>
        <v>14000</v>
      </c>
      <c r="J28" s="27">
        <f t="shared" si="5"/>
        <v>0</v>
      </c>
      <c r="K28" s="27">
        <f t="shared" si="5"/>
        <v>14000</v>
      </c>
    </row>
    <row r="29" spans="1:11" s="29" customFormat="1" ht="15" customHeight="1">
      <c r="A29" s="31" t="s">
        <v>52</v>
      </c>
      <c r="B29" s="29" t="s">
        <v>74</v>
      </c>
      <c r="C29" s="32">
        <v>1827000</v>
      </c>
      <c r="D29" s="32">
        <v>0</v>
      </c>
      <c r="E29" s="33">
        <f t="shared" si="2"/>
        <v>1827000</v>
      </c>
      <c r="F29" s="32">
        <f>70000-70000-26000-100000+10000</f>
        <v>-116000</v>
      </c>
      <c r="G29" s="32">
        <v>0</v>
      </c>
      <c r="H29" s="33">
        <f t="shared" si="3"/>
        <v>-116000</v>
      </c>
      <c r="I29" s="33">
        <f t="shared" si="4"/>
        <v>1711000</v>
      </c>
      <c r="J29" s="33">
        <f t="shared" si="4"/>
        <v>0</v>
      </c>
      <c r="K29" s="33">
        <f t="shared" si="4"/>
        <v>1711000</v>
      </c>
    </row>
    <row r="30" spans="1:11" s="20" customFormat="1" ht="15" customHeight="1">
      <c r="A30" s="10" t="s">
        <v>75</v>
      </c>
      <c r="B30" s="11" t="s">
        <v>76</v>
      </c>
      <c r="C30" s="12">
        <v>10188549</v>
      </c>
      <c r="D30" s="12">
        <v>24318</v>
      </c>
      <c r="E30" s="5">
        <f t="shared" si="2"/>
        <v>10212867</v>
      </c>
      <c r="F30" s="12">
        <f>F33+F36</f>
        <v>120000</v>
      </c>
      <c r="G30" s="12">
        <v>0</v>
      </c>
      <c r="H30" s="5">
        <f t="shared" si="3"/>
        <v>120000</v>
      </c>
      <c r="I30" s="5">
        <f t="shared" si="4"/>
        <v>10308549</v>
      </c>
      <c r="J30" s="5">
        <f t="shared" si="4"/>
        <v>24318</v>
      </c>
      <c r="K30" s="5">
        <f t="shared" si="4"/>
        <v>10332867</v>
      </c>
    </row>
    <row r="31" spans="1:11" s="25" customFormat="1" ht="15" customHeight="1">
      <c r="A31" s="13"/>
      <c r="B31" s="14" t="s">
        <v>11</v>
      </c>
      <c r="C31" s="15"/>
      <c r="D31" s="15"/>
      <c r="E31" s="7"/>
      <c r="F31" s="15"/>
      <c r="G31" s="15"/>
      <c r="H31" s="7"/>
      <c r="I31" s="7"/>
      <c r="J31" s="7"/>
      <c r="K31" s="7"/>
    </row>
    <row r="32" spans="1:11" s="29" customFormat="1" ht="14.25" customHeight="1">
      <c r="A32" s="16"/>
      <c r="B32" s="17" t="s">
        <v>12</v>
      </c>
      <c r="C32" s="18">
        <v>1220000</v>
      </c>
      <c r="D32" s="18">
        <v>0</v>
      </c>
      <c r="E32" s="9">
        <f aca="true" t="shared" si="6" ref="E32:E37">SUM(C32:D32)</f>
        <v>1220000</v>
      </c>
      <c r="F32" s="18">
        <f>F38</f>
        <v>-250000</v>
      </c>
      <c r="G32" s="18">
        <v>0</v>
      </c>
      <c r="H32" s="9">
        <f aca="true" t="shared" si="7" ref="H32:H37">F32+G32</f>
        <v>-250000</v>
      </c>
      <c r="I32" s="9">
        <f aca="true" t="shared" si="8" ref="I32:K38">C32+F32</f>
        <v>970000</v>
      </c>
      <c r="J32" s="9">
        <f t="shared" si="8"/>
        <v>0</v>
      </c>
      <c r="K32" s="9">
        <f t="shared" si="8"/>
        <v>970000</v>
      </c>
    </row>
    <row r="33" spans="1:11" ht="15" customHeight="1">
      <c r="A33" s="24">
        <v>70001</v>
      </c>
      <c r="B33" s="25" t="s">
        <v>77</v>
      </c>
      <c r="C33" s="26">
        <v>7995000</v>
      </c>
      <c r="D33" s="26">
        <v>0</v>
      </c>
      <c r="E33" s="27">
        <f t="shared" si="6"/>
        <v>7995000</v>
      </c>
      <c r="F33" s="26">
        <f>SUM(F34:F35)</f>
        <v>310000</v>
      </c>
      <c r="G33" s="26">
        <f>SUM(G34:G35)</f>
        <v>0</v>
      </c>
      <c r="H33" s="27">
        <f t="shared" si="7"/>
        <v>310000</v>
      </c>
      <c r="I33" s="27">
        <f t="shared" si="8"/>
        <v>8305000</v>
      </c>
      <c r="J33" s="27">
        <f t="shared" si="8"/>
        <v>0</v>
      </c>
      <c r="K33" s="27">
        <f t="shared" si="8"/>
        <v>8305000</v>
      </c>
    </row>
    <row r="34" spans="1:11" ht="15" customHeight="1">
      <c r="A34" s="24" t="s">
        <v>25</v>
      </c>
      <c r="B34" s="25" t="s">
        <v>26</v>
      </c>
      <c r="C34" s="26">
        <v>1965000</v>
      </c>
      <c r="D34" s="26">
        <v>0</v>
      </c>
      <c r="E34" s="27">
        <f t="shared" si="6"/>
        <v>1965000</v>
      </c>
      <c r="F34" s="28">
        <f>85000+75000+250000</f>
        <v>410000</v>
      </c>
      <c r="G34" s="28">
        <v>0</v>
      </c>
      <c r="H34" s="27">
        <f t="shared" si="7"/>
        <v>410000</v>
      </c>
      <c r="I34" s="27">
        <f t="shared" si="8"/>
        <v>2375000</v>
      </c>
      <c r="J34" s="27">
        <f t="shared" si="8"/>
        <v>0</v>
      </c>
      <c r="K34" s="27">
        <f t="shared" si="8"/>
        <v>2375000</v>
      </c>
    </row>
    <row r="35" spans="1:11" ht="15" customHeight="1">
      <c r="A35" s="24" t="s">
        <v>20</v>
      </c>
      <c r="B35" s="25" t="s">
        <v>21</v>
      </c>
      <c r="C35" s="26">
        <v>6030000</v>
      </c>
      <c r="D35" s="26">
        <v>0</v>
      </c>
      <c r="E35" s="27">
        <f t="shared" si="6"/>
        <v>6030000</v>
      </c>
      <c r="F35" s="26">
        <v>-100000</v>
      </c>
      <c r="G35" s="26">
        <v>0</v>
      </c>
      <c r="H35" s="27">
        <f t="shared" si="7"/>
        <v>-100000</v>
      </c>
      <c r="I35" s="27">
        <f t="shared" si="8"/>
        <v>5930000</v>
      </c>
      <c r="J35" s="27">
        <f t="shared" si="8"/>
        <v>0</v>
      </c>
      <c r="K35" s="27">
        <f t="shared" si="8"/>
        <v>5930000</v>
      </c>
    </row>
    <row r="36" spans="1:11" s="20" customFormat="1" ht="15" customHeight="1">
      <c r="A36" s="19">
        <v>70095</v>
      </c>
      <c r="B36" s="20" t="s">
        <v>19</v>
      </c>
      <c r="C36" s="21">
        <v>1083549</v>
      </c>
      <c r="D36" s="21">
        <v>0</v>
      </c>
      <c r="E36" s="22">
        <f t="shared" si="6"/>
        <v>1083549</v>
      </c>
      <c r="F36" s="21">
        <f>SUM(F37:F38)</f>
        <v>-190000</v>
      </c>
      <c r="G36" s="21">
        <f>SUM(G37:G37)</f>
        <v>0</v>
      </c>
      <c r="H36" s="22">
        <f t="shared" si="7"/>
        <v>-190000</v>
      </c>
      <c r="I36" s="22">
        <f t="shared" si="8"/>
        <v>893549</v>
      </c>
      <c r="J36" s="22">
        <f t="shared" si="8"/>
        <v>0</v>
      </c>
      <c r="K36" s="22">
        <f t="shared" si="8"/>
        <v>893549</v>
      </c>
    </row>
    <row r="37" spans="1:11" s="25" customFormat="1" ht="15" customHeight="1">
      <c r="A37" s="24" t="s">
        <v>78</v>
      </c>
      <c r="B37" s="25" t="s">
        <v>79</v>
      </c>
      <c r="C37" s="26">
        <v>91549</v>
      </c>
      <c r="D37" s="26">
        <v>0</v>
      </c>
      <c r="E37" s="27">
        <f t="shared" si="6"/>
        <v>91549</v>
      </c>
      <c r="F37" s="26">
        <v>60000</v>
      </c>
      <c r="G37" s="26">
        <v>0</v>
      </c>
      <c r="H37" s="27">
        <f t="shared" si="7"/>
        <v>60000</v>
      </c>
      <c r="I37" s="27">
        <f t="shared" si="8"/>
        <v>151549</v>
      </c>
      <c r="J37" s="27">
        <f t="shared" si="8"/>
        <v>0</v>
      </c>
      <c r="K37" s="27">
        <f t="shared" si="8"/>
        <v>151549</v>
      </c>
    </row>
    <row r="38" spans="1:11" s="29" customFormat="1" ht="15" customHeight="1">
      <c r="A38" s="31" t="s">
        <v>52</v>
      </c>
      <c r="B38" s="29" t="s">
        <v>74</v>
      </c>
      <c r="C38" s="32">
        <v>920000</v>
      </c>
      <c r="D38" s="32">
        <v>0</v>
      </c>
      <c r="E38" s="33">
        <f>SUM(C38:D38)</f>
        <v>920000</v>
      </c>
      <c r="F38" s="32">
        <v>-250000</v>
      </c>
      <c r="G38" s="32">
        <v>0</v>
      </c>
      <c r="H38" s="33">
        <f>F38+G38</f>
        <v>-250000</v>
      </c>
      <c r="I38" s="33">
        <f t="shared" si="8"/>
        <v>670000</v>
      </c>
      <c r="J38" s="33">
        <f t="shared" si="8"/>
        <v>0</v>
      </c>
      <c r="K38" s="33">
        <f t="shared" si="8"/>
        <v>670000</v>
      </c>
    </row>
    <row r="39" spans="1:11" s="20" customFormat="1" ht="15" customHeight="1">
      <c r="A39" s="10" t="s">
        <v>63</v>
      </c>
      <c r="B39" s="11" t="s">
        <v>81</v>
      </c>
      <c r="C39" s="12">
        <v>0</v>
      </c>
      <c r="D39" s="12">
        <v>141760</v>
      </c>
      <c r="E39" s="5">
        <f>SUM(C39:D39)</f>
        <v>141760</v>
      </c>
      <c r="F39" s="12">
        <f>F42</f>
        <v>0</v>
      </c>
      <c r="G39" s="12">
        <f>G42</f>
        <v>-2240</v>
      </c>
      <c r="H39" s="5">
        <f>F39+G39</f>
        <v>-2240</v>
      </c>
      <c r="I39" s="5">
        <f>C39+F39</f>
        <v>0</v>
      </c>
      <c r="J39" s="5">
        <f>D39+G39</f>
        <v>139520</v>
      </c>
      <c r="K39" s="5">
        <f>E39+H39</f>
        <v>139520</v>
      </c>
    </row>
    <row r="40" spans="1:11" s="25" customFormat="1" ht="15" customHeight="1">
      <c r="A40" s="13"/>
      <c r="B40" s="14" t="s">
        <v>11</v>
      </c>
      <c r="C40" s="15"/>
      <c r="D40" s="15"/>
      <c r="E40" s="7"/>
      <c r="F40" s="15"/>
      <c r="G40" s="15"/>
      <c r="H40" s="7"/>
      <c r="I40" s="7"/>
      <c r="J40" s="7"/>
      <c r="K40" s="7"/>
    </row>
    <row r="41" spans="1:11" s="29" customFormat="1" ht="15" customHeight="1">
      <c r="A41" s="16"/>
      <c r="B41" s="17" t="s">
        <v>12</v>
      </c>
      <c r="C41" s="18">
        <v>0</v>
      </c>
      <c r="D41" s="18">
        <v>0</v>
      </c>
      <c r="E41" s="9">
        <f>SUM(C41:D41)</f>
        <v>0</v>
      </c>
      <c r="F41" s="18">
        <v>0</v>
      </c>
      <c r="G41" s="18">
        <v>0</v>
      </c>
      <c r="H41" s="9">
        <f>F41+G41</f>
        <v>0</v>
      </c>
      <c r="I41" s="9">
        <f aca="true" t="shared" si="9" ref="I41:K44">C41+F41</f>
        <v>0</v>
      </c>
      <c r="J41" s="9">
        <f t="shared" si="9"/>
        <v>0</v>
      </c>
      <c r="K41" s="9">
        <f t="shared" si="9"/>
        <v>0</v>
      </c>
    </row>
    <row r="42" spans="1:11" ht="15" customHeight="1">
      <c r="A42" s="24">
        <v>75110</v>
      </c>
      <c r="B42" s="25" t="s">
        <v>154</v>
      </c>
      <c r="C42" s="26">
        <v>0</v>
      </c>
      <c r="D42" s="26">
        <v>129496</v>
      </c>
      <c r="E42" s="27">
        <f>SUM(C42:D42)</f>
        <v>129496</v>
      </c>
      <c r="F42" s="26">
        <v>0</v>
      </c>
      <c r="G42" s="26">
        <f>SUM(G43)</f>
        <v>-2240</v>
      </c>
      <c r="H42" s="27">
        <f>F42+G42</f>
        <v>-2240</v>
      </c>
      <c r="I42" s="27">
        <f t="shared" si="9"/>
        <v>0</v>
      </c>
      <c r="J42" s="27">
        <f t="shared" si="9"/>
        <v>127256</v>
      </c>
      <c r="K42" s="27">
        <f t="shared" si="9"/>
        <v>127256</v>
      </c>
    </row>
    <row r="43" spans="1:11" s="25" customFormat="1" ht="15" customHeight="1">
      <c r="A43" s="24" t="s">
        <v>64</v>
      </c>
      <c r="B43" s="25" t="s">
        <v>65</v>
      </c>
      <c r="C43" s="26">
        <v>0</v>
      </c>
      <c r="D43" s="26">
        <v>89606</v>
      </c>
      <c r="E43" s="27">
        <f>SUM(C43:D43)</f>
        <v>89606</v>
      </c>
      <c r="F43" s="28">
        <v>0</v>
      </c>
      <c r="G43" s="28">
        <v>-2240</v>
      </c>
      <c r="H43" s="27">
        <f>F43+G43</f>
        <v>-2240</v>
      </c>
      <c r="I43" s="27">
        <f t="shared" si="9"/>
        <v>0</v>
      </c>
      <c r="J43" s="27">
        <f t="shared" si="9"/>
        <v>87366</v>
      </c>
      <c r="K43" s="27">
        <f t="shared" si="9"/>
        <v>87366</v>
      </c>
    </row>
    <row r="44" spans="1:11" s="20" customFormat="1" ht="15" customHeight="1">
      <c r="A44" s="10" t="s">
        <v>17</v>
      </c>
      <c r="B44" s="11" t="s">
        <v>18</v>
      </c>
      <c r="C44" s="12">
        <v>1492000</v>
      </c>
      <c r="D44" s="12">
        <v>3900</v>
      </c>
      <c r="E44" s="5">
        <f>SUM(C44:D44)</f>
        <v>1495900</v>
      </c>
      <c r="F44" s="12">
        <f>F47</f>
        <v>-300</v>
      </c>
      <c r="G44" s="12">
        <v>0</v>
      </c>
      <c r="H44" s="5">
        <f>F44+G44</f>
        <v>-300</v>
      </c>
      <c r="I44" s="5">
        <f t="shared" si="9"/>
        <v>1491700</v>
      </c>
      <c r="J44" s="5">
        <f t="shared" si="9"/>
        <v>3900</v>
      </c>
      <c r="K44" s="5">
        <f t="shared" si="9"/>
        <v>1495600</v>
      </c>
    </row>
    <row r="45" spans="1:11" s="25" customFormat="1" ht="15" customHeight="1">
      <c r="A45" s="13"/>
      <c r="B45" s="14" t="s">
        <v>11</v>
      </c>
      <c r="C45" s="15"/>
      <c r="D45" s="15"/>
      <c r="E45" s="7"/>
      <c r="F45" s="15"/>
      <c r="G45" s="15"/>
      <c r="H45" s="7"/>
      <c r="I45" s="7"/>
      <c r="J45" s="7"/>
      <c r="K45" s="7"/>
    </row>
    <row r="46" spans="1:11" s="29" customFormat="1" ht="15" customHeight="1">
      <c r="A46" s="16"/>
      <c r="B46" s="17" t="s">
        <v>12</v>
      </c>
      <c r="C46" s="18">
        <v>0</v>
      </c>
      <c r="D46" s="18">
        <v>0</v>
      </c>
      <c r="E46" s="9">
        <f aca="true" t="shared" si="10" ref="E46:E51">SUM(C46:D46)</f>
        <v>0</v>
      </c>
      <c r="F46" s="18">
        <v>0</v>
      </c>
      <c r="G46" s="18">
        <v>0</v>
      </c>
      <c r="H46" s="9">
        <f aca="true" t="shared" si="11" ref="H46:H51">F46+G46</f>
        <v>0</v>
      </c>
      <c r="I46" s="9">
        <f aca="true" t="shared" si="12" ref="I46:K59">C46+F46</f>
        <v>0</v>
      </c>
      <c r="J46" s="9">
        <f t="shared" si="12"/>
        <v>0</v>
      </c>
      <c r="K46" s="9">
        <f t="shared" si="12"/>
        <v>0</v>
      </c>
    </row>
    <row r="47" spans="1:11" s="38" customFormat="1" ht="15" customHeight="1">
      <c r="A47" s="37">
        <v>75414</v>
      </c>
      <c r="B47" s="38" t="s">
        <v>129</v>
      </c>
      <c r="C47" s="21">
        <v>17000</v>
      </c>
      <c r="D47" s="21">
        <v>3900</v>
      </c>
      <c r="E47" s="22">
        <f t="shared" si="10"/>
        <v>20900</v>
      </c>
      <c r="F47" s="23">
        <f>SUM(F48:F50)</f>
        <v>-300</v>
      </c>
      <c r="G47" s="23">
        <v>0</v>
      </c>
      <c r="H47" s="22">
        <f t="shared" si="11"/>
        <v>-300</v>
      </c>
      <c r="I47" s="22">
        <f t="shared" si="12"/>
        <v>16700</v>
      </c>
      <c r="J47" s="22">
        <f t="shared" si="12"/>
        <v>3900</v>
      </c>
      <c r="K47" s="22">
        <f t="shared" si="12"/>
        <v>20600</v>
      </c>
    </row>
    <row r="48" spans="1:11" s="42" customFormat="1" ht="15" customHeight="1">
      <c r="A48" s="41" t="s">
        <v>36</v>
      </c>
      <c r="B48" s="42" t="s">
        <v>40</v>
      </c>
      <c r="C48" s="26">
        <v>5000</v>
      </c>
      <c r="D48" s="26">
        <v>0</v>
      </c>
      <c r="E48" s="27">
        <f t="shared" si="10"/>
        <v>5000</v>
      </c>
      <c r="F48" s="28">
        <v>5576</v>
      </c>
      <c r="G48" s="28">
        <v>0</v>
      </c>
      <c r="H48" s="27">
        <f t="shared" si="11"/>
        <v>5576</v>
      </c>
      <c r="I48" s="27">
        <f t="shared" si="12"/>
        <v>10576</v>
      </c>
      <c r="J48" s="27">
        <f t="shared" si="12"/>
        <v>0</v>
      </c>
      <c r="K48" s="27">
        <f t="shared" si="12"/>
        <v>10576</v>
      </c>
    </row>
    <row r="49" spans="1:11" s="42" customFormat="1" ht="15" customHeight="1">
      <c r="A49" s="41" t="s">
        <v>25</v>
      </c>
      <c r="B49" s="42" t="s">
        <v>26</v>
      </c>
      <c r="C49" s="26">
        <v>6000</v>
      </c>
      <c r="D49" s="26">
        <v>0</v>
      </c>
      <c r="E49" s="27">
        <f t="shared" si="10"/>
        <v>6000</v>
      </c>
      <c r="F49" s="28">
        <v>-3235</v>
      </c>
      <c r="G49" s="28">
        <v>0</v>
      </c>
      <c r="H49" s="27">
        <f t="shared" si="11"/>
        <v>-3235</v>
      </c>
      <c r="I49" s="27">
        <f t="shared" si="12"/>
        <v>2765</v>
      </c>
      <c r="J49" s="27">
        <f t="shared" si="12"/>
        <v>0</v>
      </c>
      <c r="K49" s="27">
        <f t="shared" si="12"/>
        <v>2765</v>
      </c>
    </row>
    <row r="50" spans="1:11" s="42" customFormat="1" ht="15" customHeight="1">
      <c r="A50" s="41" t="s">
        <v>20</v>
      </c>
      <c r="B50" s="42" t="s">
        <v>21</v>
      </c>
      <c r="C50" s="26">
        <v>6000</v>
      </c>
      <c r="D50" s="26">
        <v>3900</v>
      </c>
      <c r="E50" s="27">
        <f t="shared" si="10"/>
        <v>9900</v>
      </c>
      <c r="F50" s="28">
        <v>-2641</v>
      </c>
      <c r="G50" s="28">
        <v>0</v>
      </c>
      <c r="H50" s="27">
        <f t="shared" si="11"/>
        <v>-2641</v>
      </c>
      <c r="I50" s="27">
        <f t="shared" si="12"/>
        <v>3359</v>
      </c>
      <c r="J50" s="27">
        <f t="shared" si="12"/>
        <v>3900</v>
      </c>
      <c r="K50" s="27">
        <f t="shared" si="12"/>
        <v>7259</v>
      </c>
    </row>
    <row r="51" spans="1:11" s="20" customFormat="1" ht="15" customHeight="1">
      <c r="A51" s="10" t="s">
        <v>141</v>
      </c>
      <c r="B51" s="11" t="s">
        <v>142</v>
      </c>
      <c r="C51" s="12">
        <v>1422631</v>
      </c>
      <c r="D51" s="12">
        <v>0</v>
      </c>
      <c r="E51" s="5">
        <f t="shared" si="10"/>
        <v>1422631</v>
      </c>
      <c r="F51" s="12">
        <f>F54</f>
        <v>-1100000</v>
      </c>
      <c r="G51" s="12">
        <v>0</v>
      </c>
      <c r="H51" s="5">
        <f t="shared" si="11"/>
        <v>-1100000</v>
      </c>
      <c r="I51" s="5">
        <f t="shared" si="12"/>
        <v>322631</v>
      </c>
      <c r="J51" s="5">
        <f t="shared" si="12"/>
        <v>0</v>
      </c>
      <c r="K51" s="5">
        <f t="shared" si="12"/>
        <v>322631</v>
      </c>
    </row>
    <row r="52" spans="1:11" s="25" customFormat="1" ht="15" customHeight="1">
      <c r="A52" s="13"/>
      <c r="B52" s="14" t="s">
        <v>11</v>
      </c>
      <c r="C52" s="15"/>
      <c r="D52" s="15"/>
      <c r="E52" s="7"/>
      <c r="F52" s="15"/>
      <c r="G52" s="15"/>
      <c r="H52" s="7"/>
      <c r="I52" s="7"/>
      <c r="J52" s="7"/>
      <c r="K52" s="7"/>
    </row>
    <row r="53" spans="1:11" s="29" customFormat="1" ht="15" customHeight="1">
      <c r="A53" s="16"/>
      <c r="B53" s="17" t="s">
        <v>12</v>
      </c>
      <c r="C53" s="18">
        <v>0</v>
      </c>
      <c r="D53" s="18">
        <v>0</v>
      </c>
      <c r="E53" s="9">
        <f>SUM(C53:D53)</f>
        <v>0</v>
      </c>
      <c r="F53" s="18">
        <v>0</v>
      </c>
      <c r="G53" s="18">
        <v>0</v>
      </c>
      <c r="H53" s="9">
        <f>F53+G53</f>
        <v>0</v>
      </c>
      <c r="I53" s="9">
        <f aca="true" t="shared" si="13" ref="I53:K57">C53+F53</f>
        <v>0</v>
      </c>
      <c r="J53" s="9">
        <f t="shared" si="13"/>
        <v>0</v>
      </c>
      <c r="K53" s="9">
        <f t="shared" si="13"/>
        <v>0</v>
      </c>
    </row>
    <row r="54" spans="1:11" s="38" customFormat="1" ht="15" customHeight="1">
      <c r="A54" s="37">
        <v>75818</v>
      </c>
      <c r="B54" s="38" t="s">
        <v>152</v>
      </c>
      <c r="C54" s="21">
        <v>1422631</v>
      </c>
      <c r="D54" s="21">
        <v>0</v>
      </c>
      <c r="E54" s="22">
        <f>SUM(C54:D54)</f>
        <v>1422631</v>
      </c>
      <c r="F54" s="23">
        <f>SUM(F55:F57)</f>
        <v>-1100000</v>
      </c>
      <c r="G54" s="23">
        <v>0</v>
      </c>
      <c r="H54" s="22">
        <f>F54+G54</f>
        <v>-1100000</v>
      </c>
      <c r="I54" s="22">
        <f t="shared" si="13"/>
        <v>322631</v>
      </c>
      <c r="J54" s="22">
        <f t="shared" si="13"/>
        <v>0</v>
      </c>
      <c r="K54" s="22">
        <f t="shared" si="13"/>
        <v>322631</v>
      </c>
    </row>
    <row r="55" spans="1:11" s="42" customFormat="1" ht="15" customHeight="1">
      <c r="A55" s="41" t="s">
        <v>143</v>
      </c>
      <c r="B55" s="42" t="s">
        <v>144</v>
      </c>
      <c r="C55" s="26">
        <v>822631</v>
      </c>
      <c r="D55" s="26">
        <v>0</v>
      </c>
      <c r="E55" s="27">
        <f>SUM(C55:D55)</f>
        <v>822631</v>
      </c>
      <c r="F55" s="28">
        <v>-700000</v>
      </c>
      <c r="G55" s="28">
        <v>0</v>
      </c>
      <c r="H55" s="27">
        <f>F55+G55</f>
        <v>-700000</v>
      </c>
      <c r="I55" s="27">
        <f t="shared" si="13"/>
        <v>122631</v>
      </c>
      <c r="J55" s="27">
        <f t="shared" si="13"/>
        <v>0</v>
      </c>
      <c r="K55" s="27">
        <f t="shared" si="13"/>
        <v>122631</v>
      </c>
    </row>
    <row r="56" spans="1:11" s="42" customFormat="1" ht="15" customHeight="1">
      <c r="A56" s="41" t="s">
        <v>143</v>
      </c>
      <c r="B56" s="42" t="s">
        <v>153</v>
      </c>
      <c r="C56" s="26">
        <v>200000</v>
      </c>
      <c r="D56" s="26">
        <v>0</v>
      </c>
      <c r="E56" s="27">
        <f>SUM(C56:D56)</f>
        <v>200000</v>
      </c>
      <c r="F56" s="28">
        <v>-100000</v>
      </c>
      <c r="G56" s="28">
        <v>0</v>
      </c>
      <c r="H56" s="27">
        <f>F56+G56</f>
        <v>-100000</v>
      </c>
      <c r="I56" s="27">
        <f t="shared" si="13"/>
        <v>100000</v>
      </c>
      <c r="J56" s="27">
        <f t="shared" si="13"/>
        <v>0</v>
      </c>
      <c r="K56" s="27">
        <f t="shared" si="13"/>
        <v>100000</v>
      </c>
    </row>
    <row r="57" spans="1:11" s="42" customFormat="1" ht="15" customHeight="1">
      <c r="A57" s="41" t="s">
        <v>143</v>
      </c>
      <c r="B57" s="42" t="s">
        <v>158</v>
      </c>
      <c r="C57" s="26">
        <v>300000</v>
      </c>
      <c r="D57" s="26">
        <v>0</v>
      </c>
      <c r="E57" s="27">
        <f>SUM(C57:D57)</f>
        <v>300000</v>
      </c>
      <c r="F57" s="28">
        <v>-300000</v>
      </c>
      <c r="G57" s="28">
        <v>0</v>
      </c>
      <c r="H57" s="27">
        <f>F57+G57</f>
        <v>-300000</v>
      </c>
      <c r="I57" s="27">
        <f t="shared" si="13"/>
        <v>0</v>
      </c>
      <c r="J57" s="27">
        <f t="shared" si="13"/>
        <v>0</v>
      </c>
      <c r="K57" s="27">
        <f t="shared" si="13"/>
        <v>0</v>
      </c>
    </row>
    <row r="58" spans="1:11" s="42" customFormat="1" ht="15" customHeight="1">
      <c r="A58" s="41"/>
      <c r="C58" s="26"/>
      <c r="D58" s="26"/>
      <c r="E58" s="27"/>
      <c r="F58" s="28"/>
      <c r="G58" s="28"/>
      <c r="H58" s="27"/>
      <c r="I58" s="27"/>
      <c r="J58" s="27"/>
      <c r="K58" s="27"/>
    </row>
    <row r="59" spans="1:11" s="20" customFormat="1" ht="15" customHeight="1">
      <c r="A59" s="10" t="s">
        <v>22</v>
      </c>
      <c r="B59" s="11" t="s">
        <v>23</v>
      </c>
      <c r="C59" s="12">
        <v>29329698</v>
      </c>
      <c r="D59" s="12">
        <v>238467</v>
      </c>
      <c r="E59" s="5">
        <f>SUM(C59:D59)</f>
        <v>29568165</v>
      </c>
      <c r="F59" s="12">
        <f>F62+F73+F78+F90+F93+F97</f>
        <v>542675</v>
      </c>
      <c r="G59" s="12">
        <v>0</v>
      </c>
      <c r="H59" s="5">
        <f>F59+G59</f>
        <v>542675</v>
      </c>
      <c r="I59" s="5">
        <f t="shared" si="12"/>
        <v>29872373</v>
      </c>
      <c r="J59" s="5">
        <f t="shared" si="12"/>
        <v>238467</v>
      </c>
      <c r="K59" s="5">
        <f t="shared" si="12"/>
        <v>30110840</v>
      </c>
    </row>
    <row r="60" spans="1:11" s="25" customFormat="1" ht="15" customHeight="1">
      <c r="A60" s="13"/>
      <c r="B60" s="14" t="s">
        <v>11</v>
      </c>
      <c r="C60" s="15"/>
      <c r="D60" s="15"/>
      <c r="E60" s="7"/>
      <c r="F60" s="15"/>
      <c r="G60" s="15"/>
      <c r="H60" s="7"/>
      <c r="I60" s="7"/>
      <c r="J60" s="7"/>
      <c r="K60" s="7"/>
    </row>
    <row r="61" spans="1:11" s="29" customFormat="1" ht="15" customHeight="1">
      <c r="A61" s="16"/>
      <c r="B61" s="17" t="s">
        <v>12</v>
      </c>
      <c r="C61" s="18">
        <v>210000</v>
      </c>
      <c r="D61" s="18">
        <v>0</v>
      </c>
      <c r="E61" s="9">
        <f aca="true" t="shared" si="14" ref="E61:E99">SUM(C61:D61)</f>
        <v>210000</v>
      </c>
      <c r="F61" s="18">
        <f>F89</f>
        <v>-25000</v>
      </c>
      <c r="G61" s="18">
        <v>0</v>
      </c>
      <c r="H61" s="9">
        <f aca="true" t="shared" si="15" ref="H61:H99">F61+G61</f>
        <v>-25000</v>
      </c>
      <c r="I61" s="9">
        <f aca="true" t="shared" si="16" ref="I61:K99">C61+F61</f>
        <v>185000</v>
      </c>
      <c r="J61" s="9">
        <f t="shared" si="16"/>
        <v>0</v>
      </c>
      <c r="K61" s="9">
        <f t="shared" si="16"/>
        <v>185000</v>
      </c>
    </row>
    <row r="62" spans="1:11" s="38" customFormat="1" ht="15" customHeight="1">
      <c r="A62" s="37">
        <v>80101</v>
      </c>
      <c r="B62" s="38" t="s">
        <v>50</v>
      </c>
      <c r="C62" s="21">
        <v>15453079</v>
      </c>
      <c r="D62" s="21">
        <v>22466</v>
      </c>
      <c r="E62" s="22">
        <f t="shared" si="14"/>
        <v>15475545</v>
      </c>
      <c r="F62" s="23">
        <f>SUM(F63:F72)</f>
        <v>371158</v>
      </c>
      <c r="G62" s="23">
        <f>SUM(G66:G68)</f>
        <v>0</v>
      </c>
      <c r="H62" s="22">
        <f t="shared" si="15"/>
        <v>371158</v>
      </c>
      <c r="I62" s="22">
        <f t="shared" si="16"/>
        <v>15824237</v>
      </c>
      <c r="J62" s="22">
        <f t="shared" si="16"/>
        <v>22466</v>
      </c>
      <c r="K62" s="22">
        <f t="shared" si="16"/>
        <v>15846703</v>
      </c>
    </row>
    <row r="63" spans="1:11" s="42" customFormat="1" ht="15" customHeight="1">
      <c r="A63" s="41" t="s">
        <v>56</v>
      </c>
      <c r="B63" s="42" t="s">
        <v>80</v>
      </c>
      <c r="C63" s="26">
        <v>11980</v>
      </c>
      <c r="D63" s="26">
        <v>0</v>
      </c>
      <c r="E63" s="27">
        <f t="shared" si="14"/>
        <v>11980</v>
      </c>
      <c r="F63" s="28">
        <v>-1770</v>
      </c>
      <c r="G63" s="28">
        <v>0</v>
      </c>
      <c r="H63" s="27">
        <f t="shared" si="15"/>
        <v>-1770</v>
      </c>
      <c r="I63" s="27">
        <f t="shared" si="16"/>
        <v>10210</v>
      </c>
      <c r="J63" s="27">
        <f t="shared" si="16"/>
        <v>0</v>
      </c>
      <c r="K63" s="27">
        <f t="shared" si="16"/>
        <v>10210</v>
      </c>
    </row>
    <row r="64" spans="1:11" s="42" customFormat="1" ht="15" customHeight="1">
      <c r="A64" s="41" t="s">
        <v>64</v>
      </c>
      <c r="B64" s="42" t="s">
        <v>60</v>
      </c>
      <c r="C64" s="26">
        <v>1420</v>
      </c>
      <c r="D64" s="26">
        <v>0</v>
      </c>
      <c r="E64" s="27">
        <f t="shared" si="14"/>
        <v>1420</v>
      </c>
      <c r="F64" s="28">
        <v>-99</v>
      </c>
      <c r="G64" s="28">
        <v>0</v>
      </c>
      <c r="H64" s="27">
        <f t="shared" si="15"/>
        <v>-99</v>
      </c>
      <c r="I64" s="27">
        <f t="shared" si="16"/>
        <v>1321</v>
      </c>
      <c r="J64" s="27">
        <f t="shared" si="16"/>
        <v>0</v>
      </c>
      <c r="K64" s="27">
        <f t="shared" si="16"/>
        <v>1321</v>
      </c>
    </row>
    <row r="65" spans="1:11" s="42" customFormat="1" ht="15" customHeight="1">
      <c r="A65" s="41" t="s">
        <v>33</v>
      </c>
      <c r="B65" s="42" t="s">
        <v>37</v>
      </c>
      <c r="C65" s="26">
        <v>10032973</v>
      </c>
      <c r="D65" s="26">
        <v>0</v>
      </c>
      <c r="E65" s="27">
        <f t="shared" si="14"/>
        <v>10032973</v>
      </c>
      <c r="F65" s="28">
        <f>-42611+432686</f>
        <v>390075</v>
      </c>
      <c r="G65" s="28">
        <v>0</v>
      </c>
      <c r="H65" s="27">
        <f t="shared" si="15"/>
        <v>390075</v>
      </c>
      <c r="I65" s="27">
        <f t="shared" si="16"/>
        <v>10423048</v>
      </c>
      <c r="J65" s="27">
        <f t="shared" si="16"/>
        <v>0</v>
      </c>
      <c r="K65" s="27">
        <f t="shared" si="16"/>
        <v>10423048</v>
      </c>
    </row>
    <row r="66" spans="1:11" s="42" customFormat="1" ht="15" customHeight="1">
      <c r="A66" s="41" t="s">
        <v>34</v>
      </c>
      <c r="B66" s="42" t="s">
        <v>38</v>
      </c>
      <c r="C66" s="26">
        <v>1919200</v>
      </c>
      <c r="D66" s="26">
        <v>0</v>
      </c>
      <c r="E66" s="27">
        <f t="shared" si="14"/>
        <v>1919200</v>
      </c>
      <c r="F66" s="28">
        <f>6620+40200</f>
        <v>46820</v>
      </c>
      <c r="G66" s="28">
        <v>0</v>
      </c>
      <c r="H66" s="27">
        <f t="shared" si="15"/>
        <v>46820</v>
      </c>
      <c r="I66" s="27">
        <f t="shared" si="16"/>
        <v>1966020</v>
      </c>
      <c r="J66" s="27">
        <f t="shared" si="16"/>
        <v>0</v>
      </c>
      <c r="K66" s="27">
        <f t="shared" si="16"/>
        <v>1966020</v>
      </c>
    </row>
    <row r="67" spans="1:11" s="42" customFormat="1" ht="15" customHeight="1">
      <c r="A67" s="41" t="s">
        <v>35</v>
      </c>
      <c r="B67" s="42" t="s">
        <v>39</v>
      </c>
      <c r="C67" s="26">
        <v>245600</v>
      </c>
      <c r="D67" s="26">
        <v>0</v>
      </c>
      <c r="E67" s="27">
        <f t="shared" si="14"/>
        <v>245600</v>
      </c>
      <c r="F67" s="28">
        <f>7493+900</f>
        <v>8393</v>
      </c>
      <c r="G67" s="28">
        <v>0</v>
      </c>
      <c r="H67" s="27">
        <f t="shared" si="15"/>
        <v>8393</v>
      </c>
      <c r="I67" s="27">
        <f t="shared" si="16"/>
        <v>253993</v>
      </c>
      <c r="J67" s="27">
        <f t="shared" si="16"/>
        <v>0</v>
      </c>
      <c r="K67" s="27">
        <f t="shared" si="16"/>
        <v>253993</v>
      </c>
    </row>
    <row r="68" spans="1:11" s="42" customFormat="1" ht="15" customHeight="1">
      <c r="A68" s="41" t="s">
        <v>36</v>
      </c>
      <c r="B68" s="42" t="s">
        <v>40</v>
      </c>
      <c r="C68" s="26">
        <v>244712</v>
      </c>
      <c r="D68" s="26">
        <v>0</v>
      </c>
      <c r="E68" s="27">
        <f t="shared" si="14"/>
        <v>244712</v>
      </c>
      <c r="F68" s="28">
        <v>-586</v>
      </c>
      <c r="G68" s="28">
        <v>0</v>
      </c>
      <c r="H68" s="27">
        <f t="shared" si="15"/>
        <v>-586</v>
      </c>
      <c r="I68" s="27">
        <f t="shared" si="16"/>
        <v>244126</v>
      </c>
      <c r="J68" s="27">
        <f t="shared" si="16"/>
        <v>0</v>
      </c>
      <c r="K68" s="27">
        <f t="shared" si="16"/>
        <v>244126</v>
      </c>
    </row>
    <row r="69" spans="1:11" s="44" customFormat="1" ht="15" customHeight="1">
      <c r="A69" s="24" t="s">
        <v>53</v>
      </c>
      <c r="B69" s="25" t="s">
        <v>55</v>
      </c>
      <c r="C69" s="26">
        <v>892500</v>
      </c>
      <c r="D69" s="26">
        <v>0</v>
      </c>
      <c r="E69" s="27">
        <f t="shared" si="14"/>
        <v>892500</v>
      </c>
      <c r="F69" s="28">
        <v>-50200</v>
      </c>
      <c r="G69" s="28">
        <v>0</v>
      </c>
      <c r="H69" s="27">
        <f t="shared" si="15"/>
        <v>-50200</v>
      </c>
      <c r="I69" s="27">
        <f t="shared" si="16"/>
        <v>842300</v>
      </c>
      <c r="J69" s="27">
        <f t="shared" si="16"/>
        <v>0</v>
      </c>
      <c r="K69" s="27">
        <f t="shared" si="16"/>
        <v>842300</v>
      </c>
    </row>
    <row r="70" spans="1:11" s="44" customFormat="1" ht="15" customHeight="1">
      <c r="A70" s="24" t="s">
        <v>25</v>
      </c>
      <c r="B70" s="25" t="s">
        <v>26</v>
      </c>
      <c r="C70" s="26">
        <v>256940</v>
      </c>
      <c r="D70" s="26">
        <v>0</v>
      </c>
      <c r="E70" s="27">
        <f t="shared" si="14"/>
        <v>256940</v>
      </c>
      <c r="F70" s="28">
        <f>-1038</f>
        <v>-1038</v>
      </c>
      <c r="G70" s="28">
        <v>0</v>
      </c>
      <c r="H70" s="27">
        <f t="shared" si="15"/>
        <v>-1038</v>
      </c>
      <c r="I70" s="27">
        <f t="shared" si="16"/>
        <v>255902</v>
      </c>
      <c r="J70" s="27">
        <f t="shared" si="16"/>
        <v>0</v>
      </c>
      <c r="K70" s="27">
        <f t="shared" si="16"/>
        <v>255902</v>
      </c>
    </row>
    <row r="71" spans="1:11" s="44" customFormat="1" ht="15" customHeight="1">
      <c r="A71" s="24" t="s">
        <v>20</v>
      </c>
      <c r="B71" s="25" t="s">
        <v>21</v>
      </c>
      <c r="C71" s="26">
        <v>262770</v>
      </c>
      <c r="D71" s="26">
        <v>3400</v>
      </c>
      <c r="E71" s="27">
        <f t="shared" si="14"/>
        <v>266170</v>
      </c>
      <c r="F71" s="28">
        <f>-20594</f>
        <v>-20594</v>
      </c>
      <c r="G71" s="28">
        <v>0</v>
      </c>
      <c r="H71" s="27">
        <f t="shared" si="15"/>
        <v>-20594</v>
      </c>
      <c r="I71" s="27">
        <f t="shared" si="16"/>
        <v>242176</v>
      </c>
      <c r="J71" s="27">
        <f t="shared" si="16"/>
        <v>3400</v>
      </c>
      <c r="K71" s="27">
        <f t="shared" si="16"/>
        <v>245576</v>
      </c>
    </row>
    <row r="72" spans="1:11" s="44" customFormat="1" ht="15" customHeight="1">
      <c r="A72" s="24" t="s">
        <v>57</v>
      </c>
      <c r="B72" s="25" t="s">
        <v>59</v>
      </c>
      <c r="C72" s="26">
        <v>305</v>
      </c>
      <c r="D72" s="26">
        <v>0</v>
      </c>
      <c r="E72" s="27">
        <f t="shared" si="14"/>
        <v>305</v>
      </c>
      <c r="F72" s="28">
        <v>157</v>
      </c>
      <c r="G72" s="28">
        <v>0</v>
      </c>
      <c r="H72" s="27">
        <f t="shared" si="15"/>
        <v>157</v>
      </c>
      <c r="I72" s="27">
        <f t="shared" si="16"/>
        <v>462</v>
      </c>
      <c r="J72" s="27">
        <f t="shared" si="16"/>
        <v>0</v>
      </c>
      <c r="K72" s="27">
        <f t="shared" si="16"/>
        <v>462</v>
      </c>
    </row>
    <row r="73" spans="1:11" s="38" customFormat="1" ht="15" customHeight="1">
      <c r="A73" s="37">
        <v>80104</v>
      </c>
      <c r="B73" s="38" t="s">
        <v>82</v>
      </c>
      <c r="C73" s="21">
        <v>435098</v>
      </c>
      <c r="D73" s="21">
        <v>0</v>
      </c>
      <c r="E73" s="22">
        <f t="shared" si="14"/>
        <v>435098</v>
      </c>
      <c r="F73" s="23">
        <f>SUM(F74:F77)</f>
        <v>37335</v>
      </c>
      <c r="G73" s="23">
        <f>SUM(G76:G78)</f>
        <v>0</v>
      </c>
      <c r="H73" s="22">
        <f t="shared" si="15"/>
        <v>37335</v>
      </c>
      <c r="I73" s="22">
        <f t="shared" si="16"/>
        <v>472433</v>
      </c>
      <c r="J73" s="22">
        <f t="shared" si="16"/>
        <v>0</v>
      </c>
      <c r="K73" s="22">
        <f t="shared" si="16"/>
        <v>472433</v>
      </c>
    </row>
    <row r="74" spans="1:11" s="42" customFormat="1" ht="15" customHeight="1">
      <c r="A74" s="41" t="s">
        <v>56</v>
      </c>
      <c r="B74" s="42" t="s">
        <v>80</v>
      </c>
      <c r="C74" s="26">
        <v>1200</v>
      </c>
      <c r="D74" s="26">
        <v>0</v>
      </c>
      <c r="E74" s="27">
        <f t="shared" si="14"/>
        <v>1200</v>
      </c>
      <c r="F74" s="28">
        <f>-350</f>
        <v>-350</v>
      </c>
      <c r="G74" s="28">
        <v>0</v>
      </c>
      <c r="H74" s="27">
        <f t="shared" si="15"/>
        <v>-350</v>
      </c>
      <c r="I74" s="27">
        <f t="shared" si="16"/>
        <v>850</v>
      </c>
      <c r="J74" s="27">
        <f t="shared" si="16"/>
        <v>0</v>
      </c>
      <c r="K74" s="27">
        <f t="shared" si="16"/>
        <v>850</v>
      </c>
    </row>
    <row r="75" spans="1:11" s="42" customFormat="1" ht="15" customHeight="1">
      <c r="A75" s="41" t="s">
        <v>33</v>
      </c>
      <c r="B75" s="42" t="s">
        <v>37</v>
      </c>
      <c r="C75" s="26">
        <v>316000</v>
      </c>
      <c r="D75" s="26">
        <v>0</v>
      </c>
      <c r="E75" s="27">
        <f t="shared" si="14"/>
        <v>316000</v>
      </c>
      <c r="F75" s="28">
        <f>16517+18390</f>
        <v>34907</v>
      </c>
      <c r="G75" s="28">
        <v>0</v>
      </c>
      <c r="H75" s="27">
        <f t="shared" si="15"/>
        <v>34907</v>
      </c>
      <c r="I75" s="27">
        <f t="shared" si="16"/>
        <v>350907</v>
      </c>
      <c r="J75" s="27">
        <f t="shared" si="16"/>
        <v>0</v>
      </c>
      <c r="K75" s="27">
        <f t="shared" si="16"/>
        <v>350907</v>
      </c>
    </row>
    <row r="76" spans="1:11" s="42" customFormat="1" ht="15" customHeight="1">
      <c r="A76" s="41" t="s">
        <v>34</v>
      </c>
      <c r="B76" s="42" t="s">
        <v>38</v>
      </c>
      <c r="C76" s="26">
        <v>61800</v>
      </c>
      <c r="D76" s="26">
        <v>0</v>
      </c>
      <c r="E76" s="27">
        <f t="shared" si="14"/>
        <v>61800</v>
      </c>
      <c r="F76" s="28">
        <f>680+2300</f>
        <v>2980</v>
      </c>
      <c r="G76" s="28">
        <v>0</v>
      </c>
      <c r="H76" s="27">
        <f t="shared" si="15"/>
        <v>2980</v>
      </c>
      <c r="I76" s="27">
        <f t="shared" si="16"/>
        <v>64780</v>
      </c>
      <c r="J76" s="27">
        <f t="shared" si="16"/>
        <v>0</v>
      </c>
      <c r="K76" s="27">
        <f t="shared" si="16"/>
        <v>64780</v>
      </c>
    </row>
    <row r="77" spans="1:11" s="42" customFormat="1" ht="15" customHeight="1">
      <c r="A77" s="41" t="s">
        <v>35</v>
      </c>
      <c r="B77" s="42" t="s">
        <v>39</v>
      </c>
      <c r="C77" s="26">
        <v>8500</v>
      </c>
      <c r="D77" s="26">
        <v>0</v>
      </c>
      <c r="E77" s="27">
        <f t="shared" si="14"/>
        <v>8500</v>
      </c>
      <c r="F77" s="28">
        <f>-462+260</f>
        <v>-202</v>
      </c>
      <c r="G77" s="28">
        <v>0</v>
      </c>
      <c r="H77" s="27">
        <f t="shared" si="15"/>
        <v>-202</v>
      </c>
      <c r="I77" s="27">
        <f t="shared" si="16"/>
        <v>8298</v>
      </c>
      <c r="J77" s="27">
        <f t="shared" si="16"/>
        <v>0</v>
      </c>
      <c r="K77" s="27">
        <f t="shared" si="16"/>
        <v>8298</v>
      </c>
    </row>
    <row r="78" spans="1:11" s="38" customFormat="1" ht="15" customHeight="1">
      <c r="A78" s="37">
        <v>80110</v>
      </c>
      <c r="B78" s="38" t="s">
        <v>24</v>
      </c>
      <c r="C78" s="21">
        <v>11678974</v>
      </c>
      <c r="D78" s="21">
        <v>0</v>
      </c>
      <c r="E78" s="22">
        <f t="shared" si="14"/>
        <v>11678974</v>
      </c>
      <c r="F78" s="23">
        <f>SUM(F79:F89)</f>
        <v>158872</v>
      </c>
      <c r="G78" s="23">
        <f>SUM(G82:G84)</f>
        <v>0</v>
      </c>
      <c r="H78" s="22">
        <f t="shared" si="15"/>
        <v>158872</v>
      </c>
      <c r="I78" s="22">
        <f t="shared" si="16"/>
        <v>11837846</v>
      </c>
      <c r="J78" s="22">
        <f t="shared" si="16"/>
        <v>0</v>
      </c>
      <c r="K78" s="22">
        <f t="shared" si="16"/>
        <v>11837846</v>
      </c>
    </row>
    <row r="79" spans="1:11" s="42" customFormat="1" ht="15" customHeight="1">
      <c r="A79" s="41" t="s">
        <v>56</v>
      </c>
      <c r="B79" s="42" t="s">
        <v>80</v>
      </c>
      <c r="C79" s="26">
        <v>10000</v>
      </c>
      <c r="D79" s="26">
        <v>0</v>
      </c>
      <c r="E79" s="27">
        <f t="shared" si="14"/>
        <v>10000</v>
      </c>
      <c r="F79" s="28">
        <f>-210</f>
        <v>-210</v>
      </c>
      <c r="G79" s="28">
        <v>0</v>
      </c>
      <c r="H79" s="27">
        <f t="shared" si="15"/>
        <v>-210</v>
      </c>
      <c r="I79" s="27">
        <f t="shared" si="16"/>
        <v>9790</v>
      </c>
      <c r="J79" s="27">
        <f t="shared" si="16"/>
        <v>0</v>
      </c>
      <c r="K79" s="27">
        <f t="shared" si="16"/>
        <v>9790</v>
      </c>
    </row>
    <row r="80" spans="1:11" s="42" customFormat="1" ht="15" customHeight="1">
      <c r="A80" s="41" t="s">
        <v>83</v>
      </c>
      <c r="B80" s="42" t="s">
        <v>84</v>
      </c>
      <c r="C80" s="26">
        <v>500</v>
      </c>
      <c r="D80" s="26">
        <v>0</v>
      </c>
      <c r="E80" s="27">
        <f t="shared" si="14"/>
        <v>500</v>
      </c>
      <c r="F80" s="28">
        <f>-500</f>
        <v>-500</v>
      </c>
      <c r="G80" s="28">
        <v>0</v>
      </c>
      <c r="H80" s="27">
        <f t="shared" si="15"/>
        <v>-500</v>
      </c>
      <c r="I80" s="27">
        <f t="shared" si="16"/>
        <v>0</v>
      </c>
      <c r="J80" s="27">
        <f t="shared" si="16"/>
        <v>0</v>
      </c>
      <c r="K80" s="27">
        <f t="shared" si="16"/>
        <v>0</v>
      </c>
    </row>
    <row r="81" spans="1:11" s="42" customFormat="1" ht="15" customHeight="1">
      <c r="A81" s="41" t="s">
        <v>33</v>
      </c>
      <c r="B81" s="42" t="s">
        <v>37</v>
      </c>
      <c r="C81" s="26">
        <v>7296920</v>
      </c>
      <c r="D81" s="26">
        <v>0</v>
      </c>
      <c r="E81" s="27">
        <f t="shared" si="14"/>
        <v>7296920</v>
      </c>
      <c r="F81" s="28">
        <f>70371+195040</f>
        <v>265411</v>
      </c>
      <c r="G81" s="28">
        <v>0</v>
      </c>
      <c r="H81" s="27">
        <f t="shared" si="15"/>
        <v>265411</v>
      </c>
      <c r="I81" s="27">
        <f t="shared" si="16"/>
        <v>7562331</v>
      </c>
      <c r="J81" s="27">
        <f t="shared" si="16"/>
        <v>0</v>
      </c>
      <c r="K81" s="27">
        <f t="shared" si="16"/>
        <v>7562331</v>
      </c>
    </row>
    <row r="82" spans="1:11" s="42" customFormat="1" ht="15" customHeight="1">
      <c r="A82" s="41" t="s">
        <v>85</v>
      </c>
      <c r="B82" s="42" t="s">
        <v>86</v>
      </c>
      <c r="C82" s="26">
        <v>556813</v>
      </c>
      <c r="D82" s="26">
        <v>0</v>
      </c>
      <c r="E82" s="27">
        <f t="shared" si="14"/>
        <v>556813</v>
      </c>
      <c r="F82" s="28">
        <f>34</f>
        <v>34</v>
      </c>
      <c r="G82" s="28">
        <v>0</v>
      </c>
      <c r="H82" s="27">
        <f t="shared" si="15"/>
        <v>34</v>
      </c>
      <c r="I82" s="27">
        <f t="shared" si="16"/>
        <v>556847</v>
      </c>
      <c r="J82" s="27">
        <f t="shared" si="16"/>
        <v>0</v>
      </c>
      <c r="K82" s="27">
        <f t="shared" si="16"/>
        <v>556847</v>
      </c>
    </row>
    <row r="83" spans="1:11" s="42" customFormat="1" ht="15" customHeight="1">
      <c r="A83" s="41" t="s">
        <v>34</v>
      </c>
      <c r="B83" s="42" t="s">
        <v>38</v>
      </c>
      <c r="C83" s="26">
        <v>1349100</v>
      </c>
      <c r="D83" s="26">
        <v>0</v>
      </c>
      <c r="E83" s="27">
        <f t="shared" si="14"/>
        <v>1349100</v>
      </c>
      <c r="F83" s="28">
        <f>3799+13000</f>
        <v>16799</v>
      </c>
      <c r="G83" s="28">
        <v>0</v>
      </c>
      <c r="H83" s="27">
        <f t="shared" si="15"/>
        <v>16799</v>
      </c>
      <c r="I83" s="27">
        <f t="shared" si="16"/>
        <v>1365899</v>
      </c>
      <c r="J83" s="27">
        <f t="shared" si="16"/>
        <v>0</v>
      </c>
      <c r="K83" s="27">
        <f t="shared" si="16"/>
        <v>1365899</v>
      </c>
    </row>
    <row r="84" spans="1:11" s="42" customFormat="1" ht="15" customHeight="1">
      <c r="A84" s="41" t="s">
        <v>35</v>
      </c>
      <c r="B84" s="42" t="s">
        <v>39</v>
      </c>
      <c r="C84" s="26">
        <v>167000</v>
      </c>
      <c r="D84" s="26">
        <v>0</v>
      </c>
      <c r="E84" s="27">
        <f t="shared" si="14"/>
        <v>167000</v>
      </c>
      <c r="F84" s="28">
        <v>16600</v>
      </c>
      <c r="G84" s="28">
        <v>0</v>
      </c>
      <c r="H84" s="27">
        <f t="shared" si="15"/>
        <v>16600</v>
      </c>
      <c r="I84" s="27">
        <f t="shared" si="16"/>
        <v>183600</v>
      </c>
      <c r="J84" s="27">
        <f t="shared" si="16"/>
        <v>0</v>
      </c>
      <c r="K84" s="27">
        <f t="shared" si="16"/>
        <v>183600</v>
      </c>
    </row>
    <row r="85" spans="1:11" s="44" customFormat="1" ht="15" customHeight="1">
      <c r="A85" s="24" t="s">
        <v>49</v>
      </c>
      <c r="B85" s="25" t="s">
        <v>87</v>
      </c>
      <c r="C85" s="26">
        <v>4720</v>
      </c>
      <c r="D85" s="26">
        <v>0</v>
      </c>
      <c r="E85" s="27">
        <f t="shared" si="14"/>
        <v>4720</v>
      </c>
      <c r="F85" s="28">
        <f>-2945</f>
        <v>-2945</v>
      </c>
      <c r="G85" s="28">
        <v>0</v>
      </c>
      <c r="H85" s="27">
        <f t="shared" si="15"/>
        <v>-2945</v>
      </c>
      <c r="I85" s="27">
        <f t="shared" si="16"/>
        <v>1775</v>
      </c>
      <c r="J85" s="27">
        <f t="shared" si="16"/>
        <v>0</v>
      </c>
      <c r="K85" s="27">
        <f t="shared" si="16"/>
        <v>1775</v>
      </c>
    </row>
    <row r="86" spans="1:11" s="44" customFormat="1" ht="15" customHeight="1">
      <c r="A86" s="24" t="s">
        <v>53</v>
      </c>
      <c r="B86" s="25" t="s">
        <v>55</v>
      </c>
      <c r="C86" s="26">
        <v>941594</v>
      </c>
      <c r="D86" s="26">
        <v>0</v>
      </c>
      <c r="E86" s="27">
        <f t="shared" si="14"/>
        <v>941594</v>
      </c>
      <c r="F86" s="28">
        <f>-103115</f>
        <v>-103115</v>
      </c>
      <c r="G86" s="28">
        <v>0</v>
      </c>
      <c r="H86" s="27">
        <f t="shared" si="15"/>
        <v>-103115</v>
      </c>
      <c r="I86" s="27">
        <f t="shared" si="16"/>
        <v>838479</v>
      </c>
      <c r="J86" s="27">
        <f t="shared" si="16"/>
        <v>0</v>
      </c>
      <c r="K86" s="27">
        <f t="shared" si="16"/>
        <v>838479</v>
      </c>
    </row>
    <row r="87" spans="1:11" s="44" customFormat="1" ht="15" customHeight="1">
      <c r="A87" s="24" t="s">
        <v>25</v>
      </c>
      <c r="B87" s="25" t="s">
        <v>26</v>
      </c>
      <c r="C87" s="26">
        <v>48220</v>
      </c>
      <c r="D87" s="26">
        <v>0</v>
      </c>
      <c r="E87" s="27">
        <f t="shared" si="14"/>
        <v>48220</v>
      </c>
      <c r="F87" s="28">
        <f>-7711</f>
        <v>-7711</v>
      </c>
      <c r="G87" s="28">
        <v>0</v>
      </c>
      <c r="H87" s="27">
        <f t="shared" si="15"/>
        <v>-7711</v>
      </c>
      <c r="I87" s="27">
        <f t="shared" si="16"/>
        <v>40509</v>
      </c>
      <c r="J87" s="27">
        <f t="shared" si="16"/>
        <v>0</v>
      </c>
      <c r="K87" s="27">
        <f t="shared" si="16"/>
        <v>40509</v>
      </c>
    </row>
    <row r="88" spans="1:11" s="44" customFormat="1" ht="15" customHeight="1">
      <c r="A88" s="24" t="s">
        <v>57</v>
      </c>
      <c r="B88" s="25" t="s">
        <v>59</v>
      </c>
      <c r="C88" s="26">
        <v>1479</v>
      </c>
      <c r="D88" s="26">
        <v>0</v>
      </c>
      <c r="E88" s="27">
        <f t="shared" si="14"/>
        <v>1479</v>
      </c>
      <c r="F88" s="28">
        <f>-491</f>
        <v>-491</v>
      </c>
      <c r="G88" s="28">
        <v>0</v>
      </c>
      <c r="H88" s="27">
        <f t="shared" si="15"/>
        <v>-491</v>
      </c>
      <c r="I88" s="27">
        <f t="shared" si="16"/>
        <v>988</v>
      </c>
      <c r="J88" s="27">
        <f t="shared" si="16"/>
        <v>0</v>
      </c>
      <c r="K88" s="27">
        <f t="shared" si="16"/>
        <v>988</v>
      </c>
    </row>
    <row r="89" spans="1:11" s="44" customFormat="1" ht="15" customHeight="1">
      <c r="A89" s="24" t="s">
        <v>52</v>
      </c>
      <c r="B89" s="25" t="s">
        <v>130</v>
      </c>
      <c r="C89" s="26">
        <v>210000</v>
      </c>
      <c r="D89" s="26">
        <v>0</v>
      </c>
      <c r="E89" s="27">
        <f>SUM(C89:D89)</f>
        <v>210000</v>
      </c>
      <c r="F89" s="28">
        <v>-25000</v>
      </c>
      <c r="G89" s="28">
        <v>0</v>
      </c>
      <c r="H89" s="27">
        <f>F89+G89</f>
        <v>-25000</v>
      </c>
      <c r="I89" s="27">
        <f>C89+F89</f>
        <v>185000</v>
      </c>
      <c r="J89" s="27">
        <f>D89+G89</f>
        <v>0</v>
      </c>
      <c r="K89" s="27">
        <f>E89+H89</f>
        <v>185000</v>
      </c>
    </row>
    <row r="90" spans="1:11" s="38" customFormat="1" ht="15" customHeight="1">
      <c r="A90" s="37">
        <v>80114</v>
      </c>
      <c r="B90" s="38" t="s">
        <v>88</v>
      </c>
      <c r="C90" s="21">
        <v>870000</v>
      </c>
      <c r="D90" s="21">
        <v>0</v>
      </c>
      <c r="E90" s="22">
        <f t="shared" si="14"/>
        <v>870000</v>
      </c>
      <c r="F90" s="23">
        <f>SUM(F91:F92)</f>
        <v>-36000</v>
      </c>
      <c r="G90" s="23">
        <f>SUM(G92:G92)</f>
        <v>0</v>
      </c>
      <c r="H90" s="22">
        <f t="shared" si="15"/>
        <v>-36000</v>
      </c>
      <c r="I90" s="22">
        <f t="shared" si="16"/>
        <v>834000</v>
      </c>
      <c r="J90" s="22">
        <f t="shared" si="16"/>
        <v>0</v>
      </c>
      <c r="K90" s="22">
        <f t="shared" si="16"/>
        <v>834000</v>
      </c>
    </row>
    <row r="91" spans="1:11" s="42" customFormat="1" ht="15" customHeight="1">
      <c r="A91" s="41" t="s">
        <v>33</v>
      </c>
      <c r="B91" s="42" t="s">
        <v>37</v>
      </c>
      <c r="C91" s="26">
        <v>590000</v>
      </c>
      <c r="D91" s="26">
        <v>0</v>
      </c>
      <c r="E91" s="27">
        <f t="shared" si="14"/>
        <v>590000</v>
      </c>
      <c r="F91" s="28">
        <v>-34000</v>
      </c>
      <c r="G91" s="28">
        <v>0</v>
      </c>
      <c r="H91" s="27">
        <f t="shared" si="15"/>
        <v>-34000</v>
      </c>
      <c r="I91" s="27">
        <f t="shared" si="16"/>
        <v>556000</v>
      </c>
      <c r="J91" s="27">
        <f t="shared" si="16"/>
        <v>0</v>
      </c>
      <c r="K91" s="27">
        <f t="shared" si="16"/>
        <v>556000</v>
      </c>
    </row>
    <row r="92" spans="1:11" s="42" customFormat="1" ht="15" customHeight="1">
      <c r="A92" s="41" t="s">
        <v>34</v>
      </c>
      <c r="B92" s="42" t="s">
        <v>38</v>
      </c>
      <c r="C92" s="26">
        <v>114000</v>
      </c>
      <c r="D92" s="26">
        <v>0</v>
      </c>
      <c r="E92" s="27">
        <f t="shared" si="14"/>
        <v>114000</v>
      </c>
      <c r="F92" s="28">
        <v>-2000</v>
      </c>
      <c r="G92" s="28">
        <v>0</v>
      </c>
      <c r="H92" s="27">
        <f t="shared" si="15"/>
        <v>-2000</v>
      </c>
      <c r="I92" s="27">
        <f t="shared" si="16"/>
        <v>112000</v>
      </c>
      <c r="J92" s="27">
        <f t="shared" si="16"/>
        <v>0</v>
      </c>
      <c r="K92" s="27">
        <f t="shared" si="16"/>
        <v>112000</v>
      </c>
    </row>
    <row r="93" spans="1:11" s="38" customFormat="1" ht="15" customHeight="1">
      <c r="A93" s="37">
        <v>80146</v>
      </c>
      <c r="B93" s="38" t="s">
        <v>61</v>
      </c>
      <c r="C93" s="21">
        <v>230066</v>
      </c>
      <c r="D93" s="21">
        <v>0</v>
      </c>
      <c r="E93" s="22">
        <f t="shared" si="14"/>
        <v>230066</v>
      </c>
      <c r="F93" s="23">
        <f>SUM(F94:F96)</f>
        <v>11310</v>
      </c>
      <c r="G93" s="23">
        <f>SUM(G95:G96)</f>
        <v>0</v>
      </c>
      <c r="H93" s="22">
        <f t="shared" si="15"/>
        <v>11310</v>
      </c>
      <c r="I93" s="22">
        <f t="shared" si="16"/>
        <v>241376</v>
      </c>
      <c r="J93" s="22">
        <f t="shared" si="16"/>
        <v>0</v>
      </c>
      <c r="K93" s="22">
        <f t="shared" si="16"/>
        <v>241376</v>
      </c>
    </row>
    <row r="94" spans="1:11" s="42" customFormat="1" ht="15" customHeight="1">
      <c r="A94" s="41" t="s">
        <v>33</v>
      </c>
      <c r="B94" s="42" t="s">
        <v>37</v>
      </c>
      <c r="C94" s="26">
        <v>134850</v>
      </c>
      <c r="D94" s="26">
        <v>0</v>
      </c>
      <c r="E94" s="27">
        <f t="shared" si="14"/>
        <v>134850</v>
      </c>
      <c r="F94" s="28">
        <f>6500+2400</f>
        <v>8900</v>
      </c>
      <c r="G94" s="28">
        <v>0</v>
      </c>
      <c r="H94" s="27">
        <f t="shared" si="15"/>
        <v>8900</v>
      </c>
      <c r="I94" s="27">
        <f t="shared" si="16"/>
        <v>143750</v>
      </c>
      <c r="J94" s="27">
        <f t="shared" si="16"/>
        <v>0</v>
      </c>
      <c r="K94" s="27">
        <f t="shared" si="16"/>
        <v>143750</v>
      </c>
    </row>
    <row r="95" spans="1:11" s="42" customFormat="1" ht="15" customHeight="1">
      <c r="A95" s="41" t="s">
        <v>34</v>
      </c>
      <c r="B95" s="42" t="s">
        <v>38</v>
      </c>
      <c r="C95" s="26">
        <v>24400</v>
      </c>
      <c r="D95" s="26">
        <v>0</v>
      </c>
      <c r="E95" s="27">
        <f t="shared" si="14"/>
        <v>24400</v>
      </c>
      <c r="F95" s="28">
        <f>1800+300</f>
        <v>2100</v>
      </c>
      <c r="G95" s="28">
        <v>0</v>
      </c>
      <c r="H95" s="27">
        <f t="shared" si="15"/>
        <v>2100</v>
      </c>
      <c r="I95" s="27">
        <f t="shared" si="16"/>
        <v>26500</v>
      </c>
      <c r="J95" s="27">
        <f t="shared" si="16"/>
        <v>0</v>
      </c>
      <c r="K95" s="27">
        <f t="shared" si="16"/>
        <v>26500</v>
      </c>
    </row>
    <row r="96" spans="1:11" s="42" customFormat="1" ht="15" customHeight="1">
      <c r="A96" s="41" t="s">
        <v>35</v>
      </c>
      <c r="B96" s="42" t="s">
        <v>39</v>
      </c>
      <c r="C96" s="26">
        <v>3190</v>
      </c>
      <c r="D96" s="26">
        <v>0</v>
      </c>
      <c r="E96" s="27">
        <f t="shared" si="14"/>
        <v>3190</v>
      </c>
      <c r="F96" s="28">
        <f>210+100</f>
        <v>310</v>
      </c>
      <c r="G96" s="28">
        <v>0</v>
      </c>
      <c r="H96" s="27">
        <f t="shared" si="15"/>
        <v>310</v>
      </c>
      <c r="I96" s="27">
        <f t="shared" si="16"/>
        <v>3500</v>
      </c>
      <c r="J96" s="27">
        <f t="shared" si="16"/>
        <v>0</v>
      </c>
      <c r="K96" s="27">
        <f t="shared" si="16"/>
        <v>3500</v>
      </c>
    </row>
    <row r="97" spans="1:11" s="20" customFormat="1" ht="15" customHeight="1">
      <c r="A97" s="19">
        <v>80195</v>
      </c>
      <c r="B97" s="20" t="s">
        <v>19</v>
      </c>
      <c r="C97" s="21">
        <v>662481</v>
      </c>
      <c r="D97" s="21">
        <v>216001</v>
      </c>
      <c r="E97" s="22">
        <f t="shared" si="14"/>
        <v>878482</v>
      </c>
      <c r="F97" s="21">
        <f>SUM(F98:F99)</f>
        <v>0</v>
      </c>
      <c r="G97" s="21">
        <f>SUM(G98:G99)</f>
        <v>0</v>
      </c>
      <c r="H97" s="22">
        <f t="shared" si="15"/>
        <v>0</v>
      </c>
      <c r="I97" s="22">
        <f t="shared" si="16"/>
        <v>662481</v>
      </c>
      <c r="J97" s="22">
        <f t="shared" si="16"/>
        <v>216001</v>
      </c>
      <c r="K97" s="22">
        <f t="shared" si="16"/>
        <v>878482</v>
      </c>
    </row>
    <row r="98" spans="1:11" s="25" customFormat="1" ht="15" customHeight="1">
      <c r="A98" s="24" t="s">
        <v>53</v>
      </c>
      <c r="B98" s="25" t="s">
        <v>55</v>
      </c>
      <c r="C98" s="26">
        <v>156450</v>
      </c>
      <c r="D98" s="26">
        <v>0</v>
      </c>
      <c r="E98" s="27">
        <f t="shared" si="14"/>
        <v>156450</v>
      </c>
      <c r="F98" s="28">
        <v>2004</v>
      </c>
      <c r="G98" s="28">
        <v>0</v>
      </c>
      <c r="H98" s="27">
        <f t="shared" si="15"/>
        <v>2004</v>
      </c>
      <c r="I98" s="27">
        <f t="shared" si="16"/>
        <v>158454</v>
      </c>
      <c r="J98" s="27">
        <f t="shared" si="16"/>
        <v>0</v>
      </c>
      <c r="K98" s="27">
        <f t="shared" si="16"/>
        <v>158454</v>
      </c>
    </row>
    <row r="99" spans="1:11" s="29" customFormat="1" ht="15" customHeight="1">
      <c r="A99" s="31" t="s">
        <v>20</v>
      </c>
      <c r="B99" s="29" t="s">
        <v>21</v>
      </c>
      <c r="C99" s="32">
        <v>194578</v>
      </c>
      <c r="D99" s="32">
        <v>0</v>
      </c>
      <c r="E99" s="33">
        <f t="shared" si="14"/>
        <v>194578</v>
      </c>
      <c r="F99" s="32">
        <v>-2004</v>
      </c>
      <c r="G99" s="32">
        <v>0</v>
      </c>
      <c r="H99" s="33">
        <f t="shared" si="15"/>
        <v>-2004</v>
      </c>
      <c r="I99" s="33">
        <f t="shared" si="16"/>
        <v>192574</v>
      </c>
      <c r="J99" s="33">
        <f t="shared" si="16"/>
        <v>0</v>
      </c>
      <c r="K99" s="33">
        <f t="shared" si="16"/>
        <v>192574</v>
      </c>
    </row>
    <row r="100" spans="1:11" ht="15" customHeight="1">
      <c r="A100" s="10" t="s">
        <v>89</v>
      </c>
      <c r="B100" s="11" t="s">
        <v>90</v>
      </c>
      <c r="C100" s="12">
        <v>881000</v>
      </c>
      <c r="D100" s="12">
        <v>0</v>
      </c>
      <c r="E100" s="5">
        <f>SUM(C100:D100)</f>
        <v>881000</v>
      </c>
      <c r="F100" s="12">
        <f>F103</f>
        <v>0</v>
      </c>
      <c r="G100" s="12">
        <v>0</v>
      </c>
      <c r="H100" s="5">
        <f>F100+G100</f>
        <v>0</v>
      </c>
      <c r="I100" s="5">
        <f>C100+F100</f>
        <v>881000</v>
      </c>
      <c r="J100" s="5">
        <f>D100+G100</f>
        <v>0</v>
      </c>
      <c r="K100" s="5">
        <f>E100+H100</f>
        <v>881000</v>
      </c>
    </row>
    <row r="101" spans="1:11" ht="15" customHeight="1">
      <c r="A101" s="13"/>
      <c r="B101" s="14" t="s">
        <v>11</v>
      </c>
      <c r="C101" s="15"/>
      <c r="D101" s="15"/>
      <c r="E101" s="7"/>
      <c r="F101" s="15"/>
      <c r="G101" s="15"/>
      <c r="H101" s="7"/>
      <c r="I101" s="7"/>
      <c r="J101" s="7"/>
      <c r="K101" s="7"/>
    </row>
    <row r="102" spans="1:11" ht="15" customHeight="1">
      <c r="A102" s="13"/>
      <c r="B102" s="14" t="s">
        <v>12</v>
      </c>
      <c r="C102" s="15">
        <v>0</v>
      </c>
      <c r="D102" s="15">
        <v>0</v>
      </c>
      <c r="E102" s="7">
        <f>SUM(C102:D102)</f>
        <v>0</v>
      </c>
      <c r="F102" s="15">
        <v>0</v>
      </c>
      <c r="G102" s="15">
        <v>0</v>
      </c>
      <c r="H102" s="7">
        <f>F102+G102</f>
        <v>0</v>
      </c>
      <c r="I102" s="7">
        <f aca="true" t="shared" si="17" ref="I102:K106">C102+F102</f>
        <v>0</v>
      </c>
      <c r="J102" s="7">
        <f t="shared" si="17"/>
        <v>0</v>
      </c>
      <c r="K102" s="7">
        <f t="shared" si="17"/>
        <v>0</v>
      </c>
    </row>
    <row r="103" spans="1:11" s="38" customFormat="1" ht="15" customHeight="1">
      <c r="A103" s="37">
        <v>85154</v>
      </c>
      <c r="B103" s="38" t="s">
        <v>91</v>
      </c>
      <c r="C103" s="21">
        <v>870000</v>
      </c>
      <c r="D103" s="21">
        <v>0</v>
      </c>
      <c r="E103" s="22">
        <f>SUM(C103:D103)</f>
        <v>870000</v>
      </c>
      <c r="F103" s="23">
        <f>SUM(F104:F105)</f>
        <v>0</v>
      </c>
      <c r="G103" s="23">
        <f>SUM(G104:G105)</f>
        <v>0</v>
      </c>
      <c r="H103" s="22">
        <f>F103+G103</f>
        <v>0</v>
      </c>
      <c r="I103" s="22">
        <f t="shared" si="17"/>
        <v>870000</v>
      </c>
      <c r="J103" s="22">
        <f t="shared" si="17"/>
        <v>0</v>
      </c>
      <c r="K103" s="22">
        <f t="shared" si="17"/>
        <v>870000</v>
      </c>
    </row>
    <row r="104" spans="1:11" s="42" customFormat="1" ht="15" customHeight="1">
      <c r="A104" s="41" t="s">
        <v>105</v>
      </c>
      <c r="B104" s="42" t="s">
        <v>138</v>
      </c>
      <c r="C104" s="26">
        <v>431000</v>
      </c>
      <c r="D104" s="26">
        <v>0</v>
      </c>
      <c r="E104" s="27">
        <f>SUM(C104:D104)</f>
        <v>431000</v>
      </c>
      <c r="F104" s="28">
        <v>-12000</v>
      </c>
      <c r="G104" s="28">
        <v>0</v>
      </c>
      <c r="H104" s="27">
        <f>F104+G104</f>
        <v>-12000</v>
      </c>
      <c r="I104" s="27">
        <f t="shared" si="17"/>
        <v>419000</v>
      </c>
      <c r="J104" s="27">
        <f t="shared" si="17"/>
        <v>0</v>
      </c>
      <c r="K104" s="27">
        <f t="shared" si="17"/>
        <v>419000</v>
      </c>
    </row>
    <row r="105" spans="1:11" s="40" customFormat="1" ht="15" customHeight="1">
      <c r="A105" s="39" t="s">
        <v>36</v>
      </c>
      <c r="B105" s="40" t="s">
        <v>40</v>
      </c>
      <c r="C105" s="32">
        <v>22800</v>
      </c>
      <c r="D105" s="32">
        <v>0</v>
      </c>
      <c r="E105" s="33">
        <f>SUM(C105:D105)</f>
        <v>22800</v>
      </c>
      <c r="F105" s="34">
        <v>12000</v>
      </c>
      <c r="G105" s="34">
        <v>0</v>
      </c>
      <c r="H105" s="33">
        <f>F105+G105</f>
        <v>12000</v>
      </c>
      <c r="I105" s="33">
        <f t="shared" si="17"/>
        <v>34800</v>
      </c>
      <c r="J105" s="33">
        <f t="shared" si="17"/>
        <v>0</v>
      </c>
      <c r="K105" s="33">
        <f t="shared" si="17"/>
        <v>34800</v>
      </c>
    </row>
    <row r="106" spans="1:11" ht="15" customHeight="1">
      <c r="A106" s="10" t="s">
        <v>44</v>
      </c>
      <c r="B106" s="11" t="s">
        <v>45</v>
      </c>
      <c r="C106" s="12">
        <v>8477333</v>
      </c>
      <c r="D106" s="12">
        <v>8084103</v>
      </c>
      <c r="E106" s="5">
        <f>SUM(C106:D106)</f>
        <v>16561436</v>
      </c>
      <c r="F106" s="12">
        <f>F109+F111+F113+F117+F121</f>
        <v>-463000</v>
      </c>
      <c r="G106" s="12">
        <f>G109+G111+G113+G117+G121</f>
        <v>-27239</v>
      </c>
      <c r="H106" s="5">
        <f>F106+G106</f>
        <v>-490239</v>
      </c>
      <c r="I106" s="5">
        <f t="shared" si="17"/>
        <v>8014333</v>
      </c>
      <c r="J106" s="5">
        <f t="shared" si="17"/>
        <v>8056864</v>
      </c>
      <c r="K106" s="5">
        <f t="shared" si="17"/>
        <v>16071197</v>
      </c>
    </row>
    <row r="107" spans="1:11" ht="15" customHeight="1">
      <c r="A107" s="13"/>
      <c r="B107" s="14" t="s">
        <v>11</v>
      </c>
      <c r="C107" s="15"/>
      <c r="D107" s="15"/>
      <c r="E107" s="7"/>
      <c r="F107" s="15"/>
      <c r="G107" s="15"/>
      <c r="H107" s="7"/>
      <c r="I107" s="7"/>
      <c r="J107" s="7"/>
      <c r="K107" s="7"/>
    </row>
    <row r="108" spans="1:11" ht="15" customHeight="1">
      <c r="A108" s="13"/>
      <c r="B108" s="14" t="s">
        <v>12</v>
      </c>
      <c r="C108" s="15">
        <v>27200</v>
      </c>
      <c r="D108" s="15">
        <v>0</v>
      </c>
      <c r="E108" s="7">
        <f aca="true" t="shared" si="18" ref="E108:E114">SUM(C108:D108)</f>
        <v>27200</v>
      </c>
      <c r="F108" s="15">
        <v>0</v>
      </c>
      <c r="G108" s="15">
        <v>0</v>
      </c>
      <c r="H108" s="7">
        <f aca="true" t="shared" si="19" ref="H108:H114">F108+G108</f>
        <v>0</v>
      </c>
      <c r="I108" s="7">
        <f aca="true" t="shared" si="20" ref="I108:K118">C108+F108</f>
        <v>27200</v>
      </c>
      <c r="J108" s="7">
        <f t="shared" si="20"/>
        <v>0</v>
      </c>
      <c r="K108" s="7">
        <f t="shared" si="20"/>
        <v>27200</v>
      </c>
    </row>
    <row r="109" spans="1:11" s="38" customFormat="1" ht="15" customHeight="1">
      <c r="A109" s="37">
        <v>85303</v>
      </c>
      <c r="B109" s="38" t="s">
        <v>92</v>
      </c>
      <c r="C109" s="21">
        <v>60000</v>
      </c>
      <c r="D109" s="21">
        <v>250500</v>
      </c>
      <c r="E109" s="22">
        <f t="shared" si="18"/>
        <v>310500</v>
      </c>
      <c r="F109" s="23">
        <f>SUM(F110:F110)</f>
        <v>10000</v>
      </c>
      <c r="G109" s="23">
        <f>SUM(G110:G110)</f>
        <v>0</v>
      </c>
      <c r="H109" s="22">
        <f t="shared" si="19"/>
        <v>10000</v>
      </c>
      <c r="I109" s="22">
        <f t="shared" si="20"/>
        <v>70000</v>
      </c>
      <c r="J109" s="22">
        <f t="shared" si="20"/>
        <v>250500</v>
      </c>
      <c r="K109" s="22">
        <f t="shared" si="20"/>
        <v>320500</v>
      </c>
    </row>
    <row r="110" spans="1:11" s="42" customFormat="1" ht="15" customHeight="1">
      <c r="A110" s="41" t="s">
        <v>105</v>
      </c>
      <c r="B110" s="42" t="s">
        <v>137</v>
      </c>
      <c r="C110" s="26">
        <v>60000</v>
      </c>
      <c r="D110" s="26">
        <v>0</v>
      </c>
      <c r="E110" s="27">
        <f t="shared" si="18"/>
        <v>60000</v>
      </c>
      <c r="F110" s="28">
        <v>10000</v>
      </c>
      <c r="G110" s="28">
        <v>0</v>
      </c>
      <c r="H110" s="27">
        <f t="shared" si="19"/>
        <v>10000</v>
      </c>
      <c r="I110" s="27">
        <f t="shared" si="20"/>
        <v>70000</v>
      </c>
      <c r="J110" s="27">
        <f t="shared" si="20"/>
        <v>0</v>
      </c>
      <c r="K110" s="27">
        <f t="shared" si="20"/>
        <v>70000</v>
      </c>
    </row>
    <row r="111" spans="1:11" s="20" customFormat="1" ht="15" customHeight="1">
      <c r="A111" s="19">
        <v>85315</v>
      </c>
      <c r="B111" s="20" t="s">
        <v>93</v>
      </c>
      <c r="C111" s="21">
        <v>4055000</v>
      </c>
      <c r="D111" s="21">
        <v>992504</v>
      </c>
      <c r="E111" s="22">
        <f t="shared" si="18"/>
        <v>5047504</v>
      </c>
      <c r="F111" s="21">
        <f>SUM(F112:F112)</f>
        <v>-480000</v>
      </c>
      <c r="G111" s="21">
        <f>SUM(G112:G112)</f>
        <v>0</v>
      </c>
      <c r="H111" s="22">
        <f t="shared" si="19"/>
        <v>-480000</v>
      </c>
      <c r="I111" s="22">
        <f t="shared" si="20"/>
        <v>3575000</v>
      </c>
      <c r="J111" s="22">
        <f t="shared" si="20"/>
        <v>992504</v>
      </c>
      <c r="K111" s="22">
        <f t="shared" si="20"/>
        <v>4567504</v>
      </c>
    </row>
    <row r="112" spans="1:11" s="29" customFormat="1" ht="15" customHeight="1">
      <c r="A112" s="31" t="s">
        <v>47</v>
      </c>
      <c r="B112" s="29" t="s">
        <v>48</v>
      </c>
      <c r="C112" s="32">
        <v>4055000</v>
      </c>
      <c r="D112" s="32">
        <v>992504</v>
      </c>
      <c r="E112" s="33">
        <f t="shared" si="18"/>
        <v>5047504</v>
      </c>
      <c r="F112" s="32">
        <v>-480000</v>
      </c>
      <c r="G112" s="32">
        <v>0</v>
      </c>
      <c r="H112" s="33">
        <f t="shared" si="19"/>
        <v>-480000</v>
      </c>
      <c r="I112" s="33">
        <f t="shared" si="20"/>
        <v>3575000</v>
      </c>
      <c r="J112" s="33">
        <f t="shared" si="20"/>
        <v>992504</v>
      </c>
      <c r="K112" s="33">
        <f t="shared" si="20"/>
        <v>4567504</v>
      </c>
    </row>
    <row r="113" spans="1:11" s="20" customFormat="1" ht="15" customHeight="1">
      <c r="A113" s="19">
        <v>85316</v>
      </c>
      <c r="B113" s="20" t="s">
        <v>94</v>
      </c>
      <c r="C113" s="21">
        <v>0</v>
      </c>
      <c r="D113" s="21">
        <v>292968</v>
      </c>
      <c r="E113" s="22">
        <f t="shared" si="18"/>
        <v>292968</v>
      </c>
      <c r="F113" s="21">
        <f>SUM(F114:F114)</f>
        <v>0</v>
      </c>
      <c r="G113" s="21">
        <f>SUM(G114:G114)</f>
        <v>-38968</v>
      </c>
      <c r="H113" s="22">
        <f t="shared" si="19"/>
        <v>-38968</v>
      </c>
      <c r="I113" s="22">
        <f t="shared" si="20"/>
        <v>0</v>
      </c>
      <c r="J113" s="22">
        <f t="shared" si="20"/>
        <v>254000</v>
      </c>
      <c r="K113" s="22">
        <f t="shared" si="20"/>
        <v>254000</v>
      </c>
    </row>
    <row r="114" spans="1:11" s="29" customFormat="1" ht="15" customHeight="1">
      <c r="A114" s="31" t="s">
        <v>47</v>
      </c>
      <c r="B114" s="29" t="s">
        <v>48</v>
      </c>
      <c r="C114" s="32">
        <v>0</v>
      </c>
      <c r="D114" s="32">
        <v>292968</v>
      </c>
      <c r="E114" s="33">
        <f t="shared" si="18"/>
        <v>292968</v>
      </c>
      <c r="F114" s="32">
        <v>0</v>
      </c>
      <c r="G114" s="32">
        <v>-38968</v>
      </c>
      <c r="H114" s="33">
        <f t="shared" si="19"/>
        <v>-38968</v>
      </c>
      <c r="I114" s="33">
        <f t="shared" si="20"/>
        <v>0</v>
      </c>
      <c r="J114" s="33">
        <f t="shared" si="20"/>
        <v>254000</v>
      </c>
      <c r="K114" s="33">
        <f t="shared" si="20"/>
        <v>254000</v>
      </c>
    </row>
    <row r="115" spans="1:11" s="25" customFormat="1" ht="15" customHeight="1">
      <c r="A115" s="24"/>
      <c r="C115" s="26"/>
      <c r="D115" s="26"/>
      <c r="E115" s="27"/>
      <c r="F115" s="26"/>
      <c r="G115" s="26"/>
      <c r="H115" s="27"/>
      <c r="I115" s="27"/>
      <c r="J115" s="27"/>
      <c r="K115" s="27"/>
    </row>
    <row r="116" spans="1:11" s="25" customFormat="1" ht="15" customHeight="1">
      <c r="A116" s="24"/>
      <c r="C116" s="26"/>
      <c r="D116" s="26"/>
      <c r="E116" s="27"/>
      <c r="F116" s="26"/>
      <c r="G116" s="26"/>
      <c r="H116" s="27"/>
      <c r="I116" s="27"/>
      <c r="J116" s="27"/>
      <c r="K116" s="27"/>
    </row>
    <row r="117" spans="1:11" s="38" customFormat="1" ht="15" customHeight="1">
      <c r="A117" s="37">
        <v>85319</v>
      </c>
      <c r="B117" s="38" t="s">
        <v>66</v>
      </c>
      <c r="C117" s="21">
        <v>1235133</v>
      </c>
      <c r="D117" s="21">
        <v>1154318</v>
      </c>
      <c r="E117" s="22">
        <f aca="true" t="shared" si="21" ref="E117:E124">SUM(C117:D117)</f>
        <v>2389451</v>
      </c>
      <c r="F117" s="23">
        <f>SUM(F118:F120)</f>
        <v>0</v>
      </c>
      <c r="G117" s="23">
        <f>SUM(G118:G120)</f>
        <v>11729</v>
      </c>
      <c r="H117" s="22">
        <f aca="true" t="shared" si="22" ref="H117:H124">F117+G117</f>
        <v>11729</v>
      </c>
      <c r="I117" s="22">
        <f t="shared" si="20"/>
        <v>1235133</v>
      </c>
      <c r="J117" s="22">
        <f t="shared" si="20"/>
        <v>1166047</v>
      </c>
      <c r="K117" s="22">
        <f t="shared" si="20"/>
        <v>2401180</v>
      </c>
    </row>
    <row r="118" spans="1:11" s="42" customFormat="1" ht="15" customHeight="1">
      <c r="A118" s="41" t="s">
        <v>33</v>
      </c>
      <c r="B118" s="42" t="s">
        <v>37</v>
      </c>
      <c r="C118" s="26">
        <v>799504</v>
      </c>
      <c r="D118" s="26">
        <v>824500</v>
      </c>
      <c r="E118" s="27">
        <f t="shared" si="21"/>
        <v>1624004</v>
      </c>
      <c r="F118" s="28">
        <v>0</v>
      </c>
      <c r="G118" s="28">
        <v>9800</v>
      </c>
      <c r="H118" s="27">
        <f t="shared" si="22"/>
        <v>9800</v>
      </c>
      <c r="I118" s="27">
        <f t="shared" si="20"/>
        <v>799504</v>
      </c>
      <c r="J118" s="27">
        <f t="shared" si="20"/>
        <v>834300</v>
      </c>
      <c r="K118" s="27">
        <f t="shared" si="20"/>
        <v>1633804</v>
      </c>
    </row>
    <row r="119" spans="1:11" s="42" customFormat="1" ht="15" customHeight="1">
      <c r="A119" s="41" t="s">
        <v>34</v>
      </c>
      <c r="B119" s="42" t="s">
        <v>38</v>
      </c>
      <c r="C119" s="26">
        <v>139767</v>
      </c>
      <c r="D119" s="26">
        <v>158000</v>
      </c>
      <c r="E119" s="27">
        <f>SUM(C119:D119)</f>
        <v>297767</v>
      </c>
      <c r="F119" s="28">
        <v>0</v>
      </c>
      <c r="G119" s="28">
        <v>1710</v>
      </c>
      <c r="H119" s="27">
        <f>F119+G119</f>
        <v>1710</v>
      </c>
      <c r="I119" s="27">
        <f aca="true" t="shared" si="23" ref="I119:K120">C119+F119</f>
        <v>139767</v>
      </c>
      <c r="J119" s="27">
        <f t="shared" si="23"/>
        <v>159710</v>
      </c>
      <c r="K119" s="27">
        <f t="shared" si="23"/>
        <v>299477</v>
      </c>
    </row>
    <row r="120" spans="1:11" s="42" customFormat="1" ht="15" customHeight="1">
      <c r="A120" s="41" t="s">
        <v>35</v>
      </c>
      <c r="B120" s="42" t="s">
        <v>95</v>
      </c>
      <c r="C120" s="26">
        <v>20362</v>
      </c>
      <c r="D120" s="26">
        <v>20658</v>
      </c>
      <c r="E120" s="27">
        <f>SUM(C120:D120)</f>
        <v>41020</v>
      </c>
      <c r="F120" s="28">
        <v>0</v>
      </c>
      <c r="G120" s="28">
        <v>219</v>
      </c>
      <c r="H120" s="27">
        <f>F120+G120</f>
        <v>219</v>
      </c>
      <c r="I120" s="27">
        <f t="shared" si="23"/>
        <v>20362</v>
      </c>
      <c r="J120" s="27">
        <f t="shared" si="23"/>
        <v>20877</v>
      </c>
      <c r="K120" s="27">
        <f t="shared" si="23"/>
        <v>41239</v>
      </c>
    </row>
    <row r="121" spans="1:11" s="20" customFormat="1" ht="15" customHeight="1">
      <c r="A121" s="19">
        <v>85395</v>
      </c>
      <c r="B121" s="20" t="s">
        <v>19</v>
      </c>
      <c r="C121" s="21">
        <v>0</v>
      </c>
      <c r="D121" s="21">
        <v>298506</v>
      </c>
      <c r="E121" s="22">
        <f t="shared" si="21"/>
        <v>298506</v>
      </c>
      <c r="F121" s="21">
        <f>SUM(F122:F123)</f>
        <v>7000</v>
      </c>
      <c r="G121" s="21">
        <v>0</v>
      </c>
      <c r="H121" s="22">
        <f t="shared" si="22"/>
        <v>7000</v>
      </c>
      <c r="I121" s="22">
        <f aca="true" t="shared" si="24" ref="I121:K124">C121+F121</f>
        <v>7000</v>
      </c>
      <c r="J121" s="22">
        <f t="shared" si="24"/>
        <v>298506</v>
      </c>
      <c r="K121" s="22">
        <f t="shared" si="24"/>
        <v>305506</v>
      </c>
    </row>
    <row r="122" spans="1:11" s="25" customFormat="1" ht="15" customHeight="1">
      <c r="A122" s="24" t="s">
        <v>36</v>
      </c>
      <c r="B122" s="25" t="s">
        <v>40</v>
      </c>
      <c r="C122" s="26">
        <v>0</v>
      </c>
      <c r="D122" s="26">
        <v>0</v>
      </c>
      <c r="E122" s="27">
        <f t="shared" si="21"/>
        <v>0</v>
      </c>
      <c r="F122" s="28">
        <v>3500</v>
      </c>
      <c r="G122" s="28">
        <v>0</v>
      </c>
      <c r="H122" s="27">
        <f t="shared" si="22"/>
        <v>3500</v>
      </c>
      <c r="I122" s="27">
        <f t="shared" si="24"/>
        <v>3500</v>
      </c>
      <c r="J122" s="27">
        <f t="shared" si="24"/>
        <v>0</v>
      </c>
      <c r="K122" s="27">
        <f t="shared" si="24"/>
        <v>3500</v>
      </c>
    </row>
    <row r="123" spans="1:11" s="25" customFormat="1" ht="15" customHeight="1">
      <c r="A123" s="24" t="s">
        <v>20</v>
      </c>
      <c r="B123" s="25" t="s">
        <v>21</v>
      </c>
      <c r="C123" s="26">
        <v>0</v>
      </c>
      <c r="D123" s="26">
        <v>0</v>
      </c>
      <c r="E123" s="27">
        <f t="shared" si="21"/>
        <v>0</v>
      </c>
      <c r="F123" s="26">
        <v>3500</v>
      </c>
      <c r="G123" s="26">
        <v>0</v>
      </c>
      <c r="H123" s="27">
        <f t="shared" si="22"/>
        <v>3500</v>
      </c>
      <c r="I123" s="27">
        <f t="shared" si="24"/>
        <v>3500</v>
      </c>
      <c r="J123" s="27">
        <f t="shared" si="24"/>
        <v>0</v>
      </c>
      <c r="K123" s="27">
        <f t="shared" si="24"/>
        <v>3500</v>
      </c>
    </row>
    <row r="124" spans="1:11" s="11" customFormat="1" ht="14.25" customHeight="1">
      <c r="A124" s="10" t="s">
        <v>67</v>
      </c>
      <c r="B124" s="11" t="s">
        <v>96</v>
      </c>
      <c r="C124" s="12">
        <v>8136061</v>
      </c>
      <c r="D124" s="12">
        <v>34714</v>
      </c>
      <c r="E124" s="5">
        <f t="shared" si="21"/>
        <v>8170775</v>
      </c>
      <c r="F124" s="12">
        <f>F127+F132+F138</f>
        <v>465325</v>
      </c>
      <c r="G124" s="12">
        <v>0</v>
      </c>
      <c r="H124" s="5">
        <f t="shared" si="22"/>
        <v>465325</v>
      </c>
      <c r="I124" s="5">
        <f t="shared" si="24"/>
        <v>8601386</v>
      </c>
      <c r="J124" s="5">
        <f t="shared" si="24"/>
        <v>34714</v>
      </c>
      <c r="K124" s="5">
        <f t="shared" si="24"/>
        <v>8636100</v>
      </c>
    </row>
    <row r="125" spans="1:11" s="14" customFormat="1" ht="15" customHeight="1">
      <c r="A125" s="13"/>
      <c r="B125" s="14" t="s">
        <v>11</v>
      </c>
      <c r="C125" s="15"/>
      <c r="D125" s="15"/>
      <c r="E125" s="7"/>
      <c r="F125" s="15"/>
      <c r="G125" s="15"/>
      <c r="H125" s="7"/>
      <c r="I125" s="7"/>
      <c r="J125" s="7"/>
      <c r="K125" s="7"/>
    </row>
    <row r="126" spans="1:11" s="17" customFormat="1" ht="15" customHeight="1">
      <c r="A126" s="16"/>
      <c r="B126" s="17" t="s">
        <v>12</v>
      </c>
      <c r="C126" s="18">
        <v>0</v>
      </c>
      <c r="D126" s="18">
        <v>0</v>
      </c>
      <c r="E126" s="9">
        <f aca="true" t="shared" si="25" ref="E126:E131">SUM(C126:D126)</f>
        <v>0</v>
      </c>
      <c r="F126" s="18">
        <v>0</v>
      </c>
      <c r="G126" s="18">
        <v>0</v>
      </c>
      <c r="H126" s="9">
        <f aca="true" t="shared" si="26" ref="H126:H143">F126+G126</f>
        <v>0</v>
      </c>
      <c r="I126" s="9">
        <f aca="true" t="shared" si="27" ref="I126:K143">C126+F126</f>
        <v>0</v>
      </c>
      <c r="J126" s="9">
        <f t="shared" si="27"/>
        <v>0</v>
      </c>
      <c r="K126" s="9">
        <f t="shared" si="27"/>
        <v>0</v>
      </c>
    </row>
    <row r="127" spans="1:11" s="38" customFormat="1" ht="15" customHeight="1">
      <c r="A127" s="37">
        <v>85401</v>
      </c>
      <c r="B127" s="38" t="s">
        <v>97</v>
      </c>
      <c r="C127" s="21">
        <v>1862829</v>
      </c>
      <c r="D127" s="21">
        <v>0</v>
      </c>
      <c r="E127" s="22">
        <f t="shared" si="25"/>
        <v>1862829</v>
      </c>
      <c r="F127" s="23">
        <f>SUM(F128:F131)</f>
        <v>209136</v>
      </c>
      <c r="G127" s="23">
        <f>SUM(G131:G133)</f>
        <v>0</v>
      </c>
      <c r="H127" s="22">
        <f t="shared" si="26"/>
        <v>209136</v>
      </c>
      <c r="I127" s="22">
        <f t="shared" si="27"/>
        <v>2071965</v>
      </c>
      <c r="J127" s="22">
        <f t="shared" si="27"/>
        <v>0</v>
      </c>
      <c r="K127" s="22">
        <f t="shared" si="27"/>
        <v>2071965</v>
      </c>
    </row>
    <row r="128" spans="1:11" s="42" customFormat="1" ht="15" customHeight="1">
      <c r="A128" s="41" t="s">
        <v>56</v>
      </c>
      <c r="B128" s="42" t="s">
        <v>159</v>
      </c>
      <c r="C128" s="26">
        <v>13264</v>
      </c>
      <c r="D128" s="26">
        <v>0</v>
      </c>
      <c r="E128" s="27">
        <f t="shared" si="25"/>
        <v>13264</v>
      </c>
      <c r="F128" s="28">
        <f>-195</f>
        <v>-195</v>
      </c>
      <c r="G128" s="28">
        <v>0</v>
      </c>
      <c r="H128" s="27">
        <f t="shared" si="26"/>
        <v>-195</v>
      </c>
      <c r="I128" s="27">
        <f t="shared" si="27"/>
        <v>13069</v>
      </c>
      <c r="J128" s="27">
        <f t="shared" si="27"/>
        <v>0</v>
      </c>
      <c r="K128" s="27">
        <f t="shared" si="27"/>
        <v>13069</v>
      </c>
    </row>
    <row r="129" spans="1:11" s="42" customFormat="1" ht="15" customHeight="1">
      <c r="A129" s="41" t="s">
        <v>33</v>
      </c>
      <c r="B129" s="42" t="s">
        <v>98</v>
      </c>
      <c r="C129" s="26">
        <v>1358064</v>
      </c>
      <c r="D129" s="26">
        <v>0</v>
      </c>
      <c r="E129" s="27">
        <f t="shared" si="25"/>
        <v>1358064</v>
      </c>
      <c r="F129" s="28">
        <f>36000+69578+16800+43550</f>
        <v>165928</v>
      </c>
      <c r="G129" s="28">
        <v>0</v>
      </c>
      <c r="H129" s="27">
        <f t="shared" si="26"/>
        <v>165928</v>
      </c>
      <c r="I129" s="27">
        <f t="shared" si="27"/>
        <v>1523992</v>
      </c>
      <c r="J129" s="27">
        <f t="shared" si="27"/>
        <v>0</v>
      </c>
      <c r="K129" s="27">
        <f t="shared" si="27"/>
        <v>1523992</v>
      </c>
    </row>
    <row r="130" spans="1:11" s="42" customFormat="1" ht="15" customHeight="1">
      <c r="A130" s="41" t="s">
        <v>34</v>
      </c>
      <c r="B130" s="42" t="s">
        <v>38</v>
      </c>
      <c r="C130" s="26">
        <v>243775</v>
      </c>
      <c r="D130" s="26">
        <v>0</v>
      </c>
      <c r="E130" s="27">
        <f t="shared" si="25"/>
        <v>243775</v>
      </c>
      <c r="F130" s="28">
        <f>23350+6450+11300</f>
        <v>41100</v>
      </c>
      <c r="G130" s="28">
        <v>0</v>
      </c>
      <c r="H130" s="27">
        <f t="shared" si="26"/>
        <v>41100</v>
      </c>
      <c r="I130" s="27">
        <f t="shared" si="27"/>
        <v>284875</v>
      </c>
      <c r="J130" s="27">
        <f t="shared" si="27"/>
        <v>0</v>
      </c>
      <c r="K130" s="27">
        <f t="shared" si="27"/>
        <v>284875</v>
      </c>
    </row>
    <row r="131" spans="1:11" s="42" customFormat="1" ht="15" customHeight="1">
      <c r="A131" s="41" t="s">
        <v>35</v>
      </c>
      <c r="B131" s="42" t="s">
        <v>39</v>
      </c>
      <c r="C131" s="26">
        <v>34539</v>
      </c>
      <c r="D131" s="26">
        <v>0</v>
      </c>
      <c r="E131" s="27">
        <f t="shared" si="25"/>
        <v>34539</v>
      </c>
      <c r="F131" s="28">
        <f>1400+903</f>
        <v>2303</v>
      </c>
      <c r="G131" s="28">
        <v>0</v>
      </c>
      <c r="H131" s="27">
        <f t="shared" si="26"/>
        <v>2303</v>
      </c>
      <c r="I131" s="27">
        <f t="shared" si="27"/>
        <v>36842</v>
      </c>
      <c r="J131" s="27">
        <f t="shared" si="27"/>
        <v>0</v>
      </c>
      <c r="K131" s="27">
        <f t="shared" si="27"/>
        <v>36842</v>
      </c>
    </row>
    <row r="132" spans="1:11" s="38" customFormat="1" ht="15" customHeight="1">
      <c r="A132" s="37">
        <v>85404</v>
      </c>
      <c r="B132" s="38" t="s">
        <v>99</v>
      </c>
      <c r="C132" s="21">
        <v>6186382</v>
      </c>
      <c r="D132" s="21">
        <v>0</v>
      </c>
      <c r="E132" s="22">
        <f aca="true" t="shared" si="28" ref="E132:E143">SUM(C132:D132)</f>
        <v>6186382</v>
      </c>
      <c r="F132" s="23">
        <f>SUM(F133:F137)</f>
        <v>259219</v>
      </c>
      <c r="G132" s="23">
        <f>SUM(G135:G136)</f>
        <v>0</v>
      </c>
      <c r="H132" s="22">
        <f t="shared" si="26"/>
        <v>259219</v>
      </c>
      <c r="I132" s="22">
        <f t="shared" si="27"/>
        <v>6445601</v>
      </c>
      <c r="J132" s="22">
        <f t="shared" si="27"/>
        <v>0</v>
      </c>
      <c r="K132" s="22">
        <f t="shared" si="27"/>
        <v>6445601</v>
      </c>
    </row>
    <row r="133" spans="1:11" s="42" customFormat="1" ht="15" customHeight="1">
      <c r="A133" s="41" t="s">
        <v>56</v>
      </c>
      <c r="B133" s="42" t="s">
        <v>159</v>
      </c>
      <c r="C133" s="26">
        <v>5000</v>
      </c>
      <c r="D133" s="26">
        <v>0</v>
      </c>
      <c r="E133" s="27">
        <f t="shared" si="28"/>
        <v>5000</v>
      </c>
      <c r="F133" s="28">
        <v>350</v>
      </c>
      <c r="G133" s="28">
        <v>0</v>
      </c>
      <c r="H133" s="27">
        <f t="shared" si="26"/>
        <v>350</v>
      </c>
      <c r="I133" s="27">
        <f t="shared" si="27"/>
        <v>5350</v>
      </c>
      <c r="J133" s="27">
        <f t="shared" si="27"/>
        <v>0</v>
      </c>
      <c r="K133" s="27">
        <f t="shared" si="27"/>
        <v>5350</v>
      </c>
    </row>
    <row r="134" spans="1:11" s="42" customFormat="1" ht="15" customHeight="1">
      <c r="A134" s="41" t="s">
        <v>33</v>
      </c>
      <c r="B134" s="42" t="s">
        <v>37</v>
      </c>
      <c r="C134" s="26">
        <v>4263835</v>
      </c>
      <c r="D134" s="26">
        <v>0</v>
      </c>
      <c r="E134" s="27">
        <f t="shared" si="28"/>
        <v>4263835</v>
      </c>
      <c r="F134" s="28">
        <f>-15361+249574</f>
        <v>234213</v>
      </c>
      <c r="G134" s="28">
        <v>0</v>
      </c>
      <c r="H134" s="27">
        <f t="shared" si="26"/>
        <v>234213</v>
      </c>
      <c r="I134" s="27">
        <f t="shared" si="27"/>
        <v>4498048</v>
      </c>
      <c r="J134" s="27">
        <f t="shared" si="27"/>
        <v>0</v>
      </c>
      <c r="K134" s="27">
        <f t="shared" si="27"/>
        <v>4498048</v>
      </c>
    </row>
    <row r="135" spans="1:11" s="42" customFormat="1" ht="15" customHeight="1">
      <c r="A135" s="41" t="s">
        <v>34</v>
      </c>
      <c r="B135" s="42" t="s">
        <v>38</v>
      </c>
      <c r="C135" s="26">
        <v>814900</v>
      </c>
      <c r="D135" s="26">
        <v>0</v>
      </c>
      <c r="E135" s="27">
        <f t="shared" si="28"/>
        <v>814900</v>
      </c>
      <c r="F135" s="28">
        <f>8696+22400</f>
        <v>31096</v>
      </c>
      <c r="G135" s="28">
        <v>0</v>
      </c>
      <c r="H135" s="27">
        <f t="shared" si="26"/>
        <v>31096</v>
      </c>
      <c r="I135" s="27">
        <f t="shared" si="27"/>
        <v>845996</v>
      </c>
      <c r="J135" s="27">
        <f t="shared" si="27"/>
        <v>0</v>
      </c>
      <c r="K135" s="27">
        <f t="shared" si="27"/>
        <v>845996</v>
      </c>
    </row>
    <row r="136" spans="1:11" s="42" customFormat="1" ht="15" customHeight="1">
      <c r="A136" s="41" t="s">
        <v>35</v>
      </c>
      <c r="B136" s="42" t="s">
        <v>39</v>
      </c>
      <c r="C136" s="26">
        <v>111400</v>
      </c>
      <c r="D136" s="26">
        <v>0</v>
      </c>
      <c r="E136" s="27">
        <f t="shared" si="28"/>
        <v>111400</v>
      </c>
      <c r="F136" s="28">
        <f>-5040+600</f>
        <v>-4440</v>
      </c>
      <c r="G136" s="28">
        <v>0</v>
      </c>
      <c r="H136" s="27">
        <f t="shared" si="26"/>
        <v>-4440</v>
      </c>
      <c r="I136" s="27">
        <f t="shared" si="27"/>
        <v>106960</v>
      </c>
      <c r="J136" s="27">
        <f t="shared" si="27"/>
        <v>0</v>
      </c>
      <c r="K136" s="27">
        <f t="shared" si="27"/>
        <v>106960</v>
      </c>
    </row>
    <row r="137" spans="1:11" s="45" customFormat="1" ht="15" customHeight="1">
      <c r="A137" s="31" t="s">
        <v>25</v>
      </c>
      <c r="B137" s="29" t="s">
        <v>26</v>
      </c>
      <c r="C137" s="32">
        <v>10000</v>
      </c>
      <c r="D137" s="32">
        <v>0</v>
      </c>
      <c r="E137" s="33">
        <f t="shared" si="28"/>
        <v>10000</v>
      </c>
      <c r="F137" s="34">
        <f>-2000</f>
        <v>-2000</v>
      </c>
      <c r="G137" s="34">
        <v>0</v>
      </c>
      <c r="H137" s="33">
        <f t="shared" si="26"/>
        <v>-2000</v>
      </c>
      <c r="I137" s="33">
        <f t="shared" si="27"/>
        <v>8000</v>
      </c>
      <c r="J137" s="33">
        <f t="shared" si="27"/>
        <v>0</v>
      </c>
      <c r="K137" s="33">
        <f t="shared" si="27"/>
        <v>8000</v>
      </c>
    </row>
    <row r="138" spans="1:11" s="38" customFormat="1" ht="15" customHeight="1">
      <c r="A138" s="37">
        <v>85446</v>
      </c>
      <c r="B138" s="38" t="s">
        <v>61</v>
      </c>
      <c r="C138" s="21">
        <v>56850</v>
      </c>
      <c r="D138" s="21">
        <v>0</v>
      </c>
      <c r="E138" s="22">
        <f t="shared" si="28"/>
        <v>56850</v>
      </c>
      <c r="F138" s="23">
        <f>SUM(F139:F142)</f>
        <v>-3030</v>
      </c>
      <c r="G138" s="23">
        <f>SUM(G140:G141)</f>
        <v>0</v>
      </c>
      <c r="H138" s="22">
        <f t="shared" si="26"/>
        <v>-3030</v>
      </c>
      <c r="I138" s="22">
        <f t="shared" si="27"/>
        <v>53820</v>
      </c>
      <c r="J138" s="22">
        <f t="shared" si="27"/>
        <v>0</v>
      </c>
      <c r="K138" s="22">
        <f t="shared" si="27"/>
        <v>53820</v>
      </c>
    </row>
    <row r="139" spans="1:11" s="42" customFormat="1" ht="15" customHeight="1">
      <c r="A139" s="41" t="s">
        <v>33</v>
      </c>
      <c r="B139" s="42" t="s">
        <v>37</v>
      </c>
      <c r="C139" s="26">
        <v>28449</v>
      </c>
      <c r="D139" s="26">
        <v>0</v>
      </c>
      <c r="E139" s="27">
        <f t="shared" si="28"/>
        <v>28449</v>
      </c>
      <c r="F139" s="28">
        <f>-1300</f>
        <v>-1300</v>
      </c>
      <c r="G139" s="28">
        <v>0</v>
      </c>
      <c r="H139" s="27">
        <f t="shared" si="26"/>
        <v>-1300</v>
      </c>
      <c r="I139" s="27">
        <f t="shared" si="27"/>
        <v>27149</v>
      </c>
      <c r="J139" s="27">
        <f t="shared" si="27"/>
        <v>0</v>
      </c>
      <c r="K139" s="27">
        <f t="shared" si="27"/>
        <v>27149</v>
      </c>
    </row>
    <row r="140" spans="1:11" s="42" customFormat="1" ht="15" customHeight="1">
      <c r="A140" s="41" t="s">
        <v>34</v>
      </c>
      <c r="B140" s="42" t="s">
        <v>38</v>
      </c>
      <c r="C140" s="26">
        <v>5500</v>
      </c>
      <c r="D140" s="26">
        <v>0</v>
      </c>
      <c r="E140" s="27">
        <f t="shared" si="28"/>
        <v>5500</v>
      </c>
      <c r="F140" s="28">
        <f>-200</f>
        <v>-200</v>
      </c>
      <c r="G140" s="28">
        <v>0</v>
      </c>
      <c r="H140" s="27">
        <f t="shared" si="26"/>
        <v>-200</v>
      </c>
      <c r="I140" s="27">
        <f t="shared" si="27"/>
        <v>5300</v>
      </c>
      <c r="J140" s="27">
        <f t="shared" si="27"/>
        <v>0</v>
      </c>
      <c r="K140" s="27">
        <f t="shared" si="27"/>
        <v>5300</v>
      </c>
    </row>
    <row r="141" spans="1:11" s="42" customFormat="1" ht="15" customHeight="1">
      <c r="A141" s="41" t="s">
        <v>35</v>
      </c>
      <c r="B141" s="42" t="s">
        <v>39</v>
      </c>
      <c r="C141" s="26">
        <v>750</v>
      </c>
      <c r="D141" s="26">
        <v>0</v>
      </c>
      <c r="E141" s="27">
        <f t="shared" si="28"/>
        <v>750</v>
      </c>
      <c r="F141" s="28">
        <f>-70</f>
        <v>-70</v>
      </c>
      <c r="G141" s="28">
        <v>0</v>
      </c>
      <c r="H141" s="27">
        <f t="shared" si="26"/>
        <v>-70</v>
      </c>
      <c r="I141" s="27">
        <f t="shared" si="27"/>
        <v>680</v>
      </c>
      <c r="J141" s="27">
        <f t="shared" si="27"/>
        <v>0</v>
      </c>
      <c r="K141" s="27">
        <f t="shared" si="27"/>
        <v>680</v>
      </c>
    </row>
    <row r="142" spans="1:11" s="45" customFormat="1" ht="15" customHeight="1">
      <c r="A142" s="31" t="s">
        <v>20</v>
      </c>
      <c r="B142" s="29" t="s">
        <v>21</v>
      </c>
      <c r="C142" s="32">
        <v>20000</v>
      </c>
      <c r="D142" s="32">
        <v>0</v>
      </c>
      <c r="E142" s="33">
        <f t="shared" si="28"/>
        <v>20000</v>
      </c>
      <c r="F142" s="34">
        <f>-1460</f>
        <v>-1460</v>
      </c>
      <c r="G142" s="34">
        <v>0</v>
      </c>
      <c r="H142" s="33">
        <f t="shared" si="26"/>
        <v>-1460</v>
      </c>
      <c r="I142" s="33">
        <f t="shared" si="27"/>
        <v>18540</v>
      </c>
      <c r="J142" s="33">
        <f t="shared" si="27"/>
        <v>0</v>
      </c>
      <c r="K142" s="33">
        <f t="shared" si="27"/>
        <v>18540</v>
      </c>
    </row>
    <row r="143" spans="1:11" ht="15" customHeight="1">
      <c r="A143" s="10" t="s">
        <v>51</v>
      </c>
      <c r="B143" s="11" t="s">
        <v>100</v>
      </c>
      <c r="C143" s="12">
        <v>8248984</v>
      </c>
      <c r="D143" s="12">
        <v>1074000</v>
      </c>
      <c r="E143" s="5">
        <f t="shared" si="28"/>
        <v>9322984</v>
      </c>
      <c r="F143" s="12">
        <f>F146+F148+F151</f>
        <v>-434400</v>
      </c>
      <c r="G143" s="12">
        <v>0</v>
      </c>
      <c r="H143" s="5">
        <f t="shared" si="26"/>
        <v>-434400</v>
      </c>
      <c r="I143" s="5">
        <f t="shared" si="27"/>
        <v>7814584</v>
      </c>
      <c r="J143" s="5">
        <f t="shared" si="27"/>
        <v>1074000</v>
      </c>
      <c r="K143" s="5">
        <f t="shared" si="27"/>
        <v>8888584</v>
      </c>
    </row>
    <row r="144" spans="1:11" ht="15" customHeight="1">
      <c r="A144" s="13"/>
      <c r="B144" s="14" t="s">
        <v>11</v>
      </c>
      <c r="C144" s="15"/>
      <c r="D144" s="15"/>
      <c r="E144" s="7"/>
      <c r="F144" s="15"/>
      <c r="G144" s="15"/>
      <c r="H144" s="7"/>
      <c r="I144" s="7"/>
      <c r="J144" s="7"/>
      <c r="K144" s="7"/>
    </row>
    <row r="145" spans="1:11" ht="15" customHeight="1">
      <c r="A145" s="13"/>
      <c r="B145" s="14" t="s">
        <v>12</v>
      </c>
      <c r="C145" s="15">
        <v>2980800</v>
      </c>
      <c r="D145" s="15">
        <v>250000</v>
      </c>
      <c r="E145" s="7">
        <f aca="true" t="shared" si="29" ref="E145:E157">SUM(C145:D145)</f>
        <v>3230800</v>
      </c>
      <c r="F145" s="15">
        <f>F158+F159</f>
        <v>-154400</v>
      </c>
      <c r="G145" s="15">
        <v>0</v>
      </c>
      <c r="H145" s="7">
        <f aca="true" t="shared" si="30" ref="H145:H157">F145+G145</f>
        <v>-154400</v>
      </c>
      <c r="I145" s="7">
        <f aca="true" t="shared" si="31" ref="I145:K157">C145+F145</f>
        <v>2826400</v>
      </c>
      <c r="J145" s="7">
        <f t="shared" si="31"/>
        <v>250000</v>
      </c>
      <c r="K145" s="7">
        <f t="shared" si="31"/>
        <v>3076400</v>
      </c>
    </row>
    <row r="146" spans="1:11" s="20" customFormat="1" ht="15" customHeight="1">
      <c r="A146" s="19">
        <v>90003</v>
      </c>
      <c r="B146" s="20" t="s">
        <v>101</v>
      </c>
      <c r="C146" s="21">
        <v>436000</v>
      </c>
      <c r="D146" s="21">
        <v>0</v>
      </c>
      <c r="E146" s="22">
        <f t="shared" si="29"/>
        <v>436000</v>
      </c>
      <c r="F146" s="21">
        <f>SUM(F147:F147)</f>
        <v>-40000</v>
      </c>
      <c r="G146" s="21">
        <f>SUM(G147:G147)</f>
        <v>0</v>
      </c>
      <c r="H146" s="22">
        <f t="shared" si="30"/>
        <v>-40000</v>
      </c>
      <c r="I146" s="22">
        <f t="shared" si="31"/>
        <v>396000</v>
      </c>
      <c r="J146" s="22">
        <f t="shared" si="31"/>
        <v>0</v>
      </c>
      <c r="K146" s="22">
        <f t="shared" si="31"/>
        <v>396000</v>
      </c>
    </row>
    <row r="147" spans="1:11" s="29" customFormat="1" ht="15" customHeight="1">
      <c r="A147" s="31" t="s">
        <v>20</v>
      </c>
      <c r="B147" s="29" t="s">
        <v>21</v>
      </c>
      <c r="C147" s="32">
        <v>436000</v>
      </c>
      <c r="D147" s="32">
        <v>0</v>
      </c>
      <c r="E147" s="33">
        <f t="shared" si="29"/>
        <v>436000</v>
      </c>
      <c r="F147" s="32">
        <v>-40000</v>
      </c>
      <c r="G147" s="32">
        <v>0</v>
      </c>
      <c r="H147" s="33">
        <f t="shared" si="30"/>
        <v>-40000</v>
      </c>
      <c r="I147" s="33">
        <f t="shared" si="31"/>
        <v>396000</v>
      </c>
      <c r="J147" s="33">
        <f t="shared" si="31"/>
        <v>0</v>
      </c>
      <c r="K147" s="33">
        <f t="shared" si="31"/>
        <v>396000</v>
      </c>
    </row>
    <row r="148" spans="1:11" s="38" customFormat="1" ht="15" customHeight="1">
      <c r="A148" s="37">
        <v>90015</v>
      </c>
      <c r="B148" s="38" t="s">
        <v>125</v>
      </c>
      <c r="C148" s="21">
        <v>1856000</v>
      </c>
      <c r="D148" s="21">
        <v>824000</v>
      </c>
      <c r="E148" s="22">
        <f>SUM(C148:D148)</f>
        <v>2680000</v>
      </c>
      <c r="F148" s="23">
        <f>SUM(F149:F150)</f>
        <v>0</v>
      </c>
      <c r="G148" s="23">
        <f>SUM(G150:G150)</f>
        <v>0</v>
      </c>
      <c r="H148" s="22">
        <f t="shared" si="30"/>
        <v>0</v>
      </c>
      <c r="I148" s="22">
        <f t="shared" si="31"/>
        <v>1856000</v>
      </c>
      <c r="J148" s="22">
        <f t="shared" si="31"/>
        <v>824000</v>
      </c>
      <c r="K148" s="22">
        <f t="shared" si="31"/>
        <v>2680000</v>
      </c>
    </row>
    <row r="149" spans="1:11" s="42" customFormat="1" ht="15" customHeight="1">
      <c r="A149" s="41" t="s">
        <v>53</v>
      </c>
      <c r="B149" s="42" t="s">
        <v>55</v>
      </c>
      <c r="C149" s="26">
        <v>1122000</v>
      </c>
      <c r="D149" s="26">
        <v>600000</v>
      </c>
      <c r="E149" s="27">
        <f>SUM(C149:D149)</f>
        <v>1722000</v>
      </c>
      <c r="F149" s="28">
        <v>-140000</v>
      </c>
      <c r="G149" s="28">
        <v>0</v>
      </c>
      <c r="H149" s="27">
        <f t="shared" si="30"/>
        <v>-140000</v>
      </c>
      <c r="I149" s="27">
        <f t="shared" si="31"/>
        <v>982000</v>
      </c>
      <c r="J149" s="27">
        <f t="shared" si="31"/>
        <v>600000</v>
      </c>
      <c r="K149" s="27">
        <f t="shared" si="31"/>
        <v>1582000</v>
      </c>
    </row>
    <row r="150" spans="1:11" s="42" customFormat="1" ht="15" customHeight="1">
      <c r="A150" s="41" t="s">
        <v>25</v>
      </c>
      <c r="B150" s="42" t="s">
        <v>26</v>
      </c>
      <c r="C150" s="26">
        <v>684000</v>
      </c>
      <c r="D150" s="26">
        <v>224000</v>
      </c>
      <c r="E150" s="27">
        <f>SUM(C150:D150)</f>
        <v>908000</v>
      </c>
      <c r="F150" s="28">
        <v>140000</v>
      </c>
      <c r="G150" s="28">
        <v>0</v>
      </c>
      <c r="H150" s="27">
        <f t="shared" si="30"/>
        <v>140000</v>
      </c>
      <c r="I150" s="27">
        <f t="shared" si="31"/>
        <v>824000</v>
      </c>
      <c r="J150" s="27">
        <f t="shared" si="31"/>
        <v>224000</v>
      </c>
      <c r="K150" s="27">
        <f t="shared" si="31"/>
        <v>1048000</v>
      </c>
    </row>
    <row r="151" spans="1:11" s="20" customFormat="1" ht="15" customHeight="1">
      <c r="A151" s="19">
        <v>90095</v>
      </c>
      <c r="B151" s="20" t="s">
        <v>19</v>
      </c>
      <c r="C151" s="21">
        <v>5130228</v>
      </c>
      <c r="D151" s="21">
        <v>250000</v>
      </c>
      <c r="E151" s="22">
        <f t="shared" si="29"/>
        <v>5380228</v>
      </c>
      <c r="F151" s="21">
        <f>SUM(F152:F159)</f>
        <v>-394400</v>
      </c>
      <c r="G151" s="21">
        <f>SUM(G154:G156)</f>
        <v>0</v>
      </c>
      <c r="H151" s="22">
        <f t="shared" si="30"/>
        <v>-394400</v>
      </c>
      <c r="I151" s="22">
        <f t="shared" si="31"/>
        <v>4735828</v>
      </c>
      <c r="J151" s="22">
        <f t="shared" si="31"/>
        <v>250000</v>
      </c>
      <c r="K151" s="22">
        <f t="shared" si="31"/>
        <v>4985828</v>
      </c>
    </row>
    <row r="152" spans="1:11" s="25" customFormat="1" ht="15" customHeight="1">
      <c r="A152" s="24" t="s">
        <v>102</v>
      </c>
      <c r="B152" s="25" t="s">
        <v>103</v>
      </c>
      <c r="C152" s="26">
        <v>592643</v>
      </c>
      <c r="D152" s="26">
        <v>0</v>
      </c>
      <c r="E152" s="27">
        <f t="shared" si="29"/>
        <v>592643</v>
      </c>
      <c r="F152" s="28">
        <v>-80000</v>
      </c>
      <c r="G152" s="28">
        <v>0</v>
      </c>
      <c r="H152" s="27">
        <f t="shared" si="30"/>
        <v>-80000</v>
      </c>
      <c r="I152" s="27">
        <f t="shared" si="31"/>
        <v>512643</v>
      </c>
      <c r="J152" s="27">
        <f t="shared" si="31"/>
        <v>0</v>
      </c>
      <c r="K152" s="27">
        <f t="shared" si="31"/>
        <v>512643</v>
      </c>
    </row>
    <row r="153" spans="1:11" s="25" customFormat="1" ht="15" customHeight="1">
      <c r="A153" s="24" t="s">
        <v>36</v>
      </c>
      <c r="B153" s="25" t="s">
        <v>40</v>
      </c>
      <c r="C153" s="26">
        <v>34000</v>
      </c>
      <c r="D153" s="26">
        <v>0</v>
      </c>
      <c r="E153" s="27">
        <f t="shared" si="29"/>
        <v>34000</v>
      </c>
      <c r="F153" s="28">
        <v>-5000</v>
      </c>
      <c r="G153" s="28">
        <v>0</v>
      </c>
      <c r="H153" s="27">
        <f t="shared" si="30"/>
        <v>-5000</v>
      </c>
      <c r="I153" s="27">
        <f t="shared" si="31"/>
        <v>29000</v>
      </c>
      <c r="J153" s="27">
        <f t="shared" si="31"/>
        <v>0</v>
      </c>
      <c r="K153" s="27">
        <f t="shared" si="31"/>
        <v>29000</v>
      </c>
    </row>
    <row r="154" spans="1:11" s="25" customFormat="1" ht="15" customHeight="1">
      <c r="A154" s="24" t="s">
        <v>53</v>
      </c>
      <c r="B154" s="25" t="s">
        <v>55</v>
      </c>
      <c r="C154" s="26">
        <v>227000</v>
      </c>
      <c r="D154" s="26">
        <v>0</v>
      </c>
      <c r="E154" s="27">
        <f t="shared" si="29"/>
        <v>227000</v>
      </c>
      <c r="F154" s="28">
        <f>16000-70000</f>
        <v>-54000</v>
      </c>
      <c r="G154" s="28">
        <v>0</v>
      </c>
      <c r="H154" s="27">
        <f t="shared" si="30"/>
        <v>-54000</v>
      </c>
      <c r="I154" s="27">
        <f t="shared" si="31"/>
        <v>173000</v>
      </c>
      <c r="J154" s="27">
        <f t="shared" si="31"/>
        <v>0</v>
      </c>
      <c r="K154" s="27">
        <f t="shared" si="31"/>
        <v>173000</v>
      </c>
    </row>
    <row r="155" spans="1:11" s="25" customFormat="1" ht="15" customHeight="1">
      <c r="A155" s="24" t="s">
        <v>25</v>
      </c>
      <c r="B155" s="25" t="s">
        <v>26</v>
      </c>
      <c r="C155" s="26">
        <v>224000</v>
      </c>
      <c r="D155" s="26">
        <v>0</v>
      </c>
      <c r="E155" s="27">
        <f t="shared" si="29"/>
        <v>224000</v>
      </c>
      <c r="F155" s="28">
        <f>-15000-7000</f>
        <v>-22000</v>
      </c>
      <c r="G155" s="28">
        <v>0</v>
      </c>
      <c r="H155" s="27">
        <f t="shared" si="30"/>
        <v>-22000</v>
      </c>
      <c r="I155" s="27">
        <f t="shared" si="31"/>
        <v>202000</v>
      </c>
      <c r="J155" s="27">
        <f t="shared" si="31"/>
        <v>0</v>
      </c>
      <c r="K155" s="27">
        <f t="shared" si="31"/>
        <v>202000</v>
      </c>
    </row>
    <row r="156" spans="1:11" s="25" customFormat="1" ht="15" customHeight="1">
      <c r="A156" s="24" t="s">
        <v>20</v>
      </c>
      <c r="B156" s="25" t="s">
        <v>21</v>
      </c>
      <c r="C156" s="26">
        <v>1070485</v>
      </c>
      <c r="D156" s="26">
        <v>0</v>
      </c>
      <c r="E156" s="27">
        <f t="shared" si="29"/>
        <v>1070485</v>
      </c>
      <c r="F156" s="26">
        <f>-56000-20000</f>
        <v>-76000</v>
      </c>
      <c r="G156" s="26">
        <v>0</v>
      </c>
      <c r="H156" s="27">
        <f t="shared" si="30"/>
        <v>-76000</v>
      </c>
      <c r="I156" s="27">
        <f t="shared" si="31"/>
        <v>994485</v>
      </c>
      <c r="J156" s="27">
        <f t="shared" si="31"/>
        <v>0</v>
      </c>
      <c r="K156" s="27">
        <f t="shared" si="31"/>
        <v>994485</v>
      </c>
    </row>
    <row r="157" spans="1:11" s="25" customFormat="1" ht="15" customHeight="1">
      <c r="A157" s="24" t="s">
        <v>58</v>
      </c>
      <c r="B157" s="25" t="s">
        <v>104</v>
      </c>
      <c r="C157" s="26">
        <v>4000</v>
      </c>
      <c r="D157" s="26">
        <v>0</v>
      </c>
      <c r="E157" s="27">
        <f t="shared" si="29"/>
        <v>4000</v>
      </c>
      <c r="F157" s="26">
        <v>-3000</v>
      </c>
      <c r="G157" s="26">
        <v>0</v>
      </c>
      <c r="H157" s="27">
        <f t="shared" si="30"/>
        <v>-3000</v>
      </c>
      <c r="I157" s="27">
        <f t="shared" si="31"/>
        <v>1000</v>
      </c>
      <c r="J157" s="27">
        <f t="shared" si="31"/>
        <v>0</v>
      </c>
      <c r="K157" s="27">
        <f t="shared" si="31"/>
        <v>1000</v>
      </c>
    </row>
    <row r="158" spans="1:11" s="25" customFormat="1" ht="15" customHeight="1">
      <c r="A158" s="24" t="s">
        <v>52</v>
      </c>
      <c r="B158" s="25" t="s">
        <v>130</v>
      </c>
      <c r="C158" s="26">
        <v>2890800</v>
      </c>
      <c r="D158" s="26">
        <v>250000</v>
      </c>
      <c r="E158" s="27">
        <f>SUM(C158:D158)</f>
        <v>3140800</v>
      </c>
      <c r="F158" s="26">
        <f>25000-112500-106900</f>
        <v>-194400</v>
      </c>
      <c r="G158" s="26">
        <v>0</v>
      </c>
      <c r="H158" s="27">
        <f>F158+G158</f>
        <v>-194400</v>
      </c>
      <c r="I158" s="27">
        <f aca="true" t="shared" si="32" ref="I158:K159">C158+F158</f>
        <v>2696400</v>
      </c>
      <c r="J158" s="27">
        <f t="shared" si="32"/>
        <v>250000</v>
      </c>
      <c r="K158" s="27">
        <f t="shared" si="32"/>
        <v>2946400</v>
      </c>
    </row>
    <row r="159" spans="1:11" s="29" customFormat="1" ht="15" customHeight="1">
      <c r="A159" s="31" t="s">
        <v>31</v>
      </c>
      <c r="B159" s="29" t="s">
        <v>32</v>
      </c>
      <c r="C159" s="32">
        <v>0</v>
      </c>
      <c r="D159" s="32">
        <v>0</v>
      </c>
      <c r="E159" s="33">
        <f>SUM(C159:D159)</f>
        <v>0</v>
      </c>
      <c r="F159" s="32">
        <v>40000</v>
      </c>
      <c r="G159" s="32">
        <v>0</v>
      </c>
      <c r="H159" s="33">
        <f>F159+G159</f>
        <v>40000</v>
      </c>
      <c r="I159" s="33">
        <f t="shared" si="32"/>
        <v>40000</v>
      </c>
      <c r="J159" s="33">
        <f t="shared" si="32"/>
        <v>0</v>
      </c>
      <c r="K159" s="33">
        <f t="shared" si="32"/>
        <v>40000</v>
      </c>
    </row>
    <row r="160" spans="1:11" s="44" customFormat="1" ht="15" customHeight="1">
      <c r="A160" s="24"/>
      <c r="B160" s="25"/>
      <c r="C160" s="26"/>
      <c r="D160" s="26"/>
      <c r="E160" s="27"/>
      <c r="F160" s="26"/>
      <c r="G160" s="26"/>
      <c r="H160" s="27"/>
      <c r="I160" s="27"/>
      <c r="J160" s="27"/>
      <c r="K160" s="27"/>
    </row>
    <row r="161" spans="1:11" ht="15" customHeight="1">
      <c r="A161" s="10" t="s">
        <v>107</v>
      </c>
      <c r="B161" s="11" t="s">
        <v>160</v>
      </c>
      <c r="C161" s="12">
        <v>2785198</v>
      </c>
      <c r="D161" s="12">
        <v>42863</v>
      </c>
      <c r="E161" s="5">
        <f>SUM(C161:D161)</f>
        <v>2828061</v>
      </c>
      <c r="F161" s="12">
        <f>F164+F166+F168</f>
        <v>0</v>
      </c>
      <c r="G161" s="12">
        <v>0</v>
      </c>
      <c r="H161" s="5">
        <f>F161+G161</f>
        <v>0</v>
      </c>
      <c r="I161" s="5">
        <f>C161+F161</f>
        <v>2785198</v>
      </c>
      <c r="J161" s="5">
        <f>D161+G161</f>
        <v>42863</v>
      </c>
      <c r="K161" s="5">
        <f>E161+H161</f>
        <v>2828061</v>
      </c>
    </row>
    <row r="162" spans="1:11" ht="15" customHeight="1">
      <c r="A162" s="13"/>
      <c r="B162" s="14" t="s">
        <v>11</v>
      </c>
      <c r="C162" s="15"/>
      <c r="D162" s="15"/>
      <c r="E162" s="7"/>
      <c r="F162" s="15"/>
      <c r="G162" s="15"/>
      <c r="H162" s="7"/>
      <c r="I162" s="7"/>
      <c r="J162" s="7"/>
      <c r="K162" s="7"/>
    </row>
    <row r="163" spans="1:11" ht="15" customHeight="1">
      <c r="A163" s="13"/>
      <c r="B163" s="14" t="s">
        <v>12</v>
      </c>
      <c r="C163" s="15">
        <v>161698</v>
      </c>
      <c r="D163" s="15">
        <v>42863</v>
      </c>
      <c r="E163" s="7">
        <f aca="true" t="shared" si="33" ref="E163:E172">SUM(C163:D163)</f>
        <v>204561</v>
      </c>
      <c r="F163" s="15">
        <f>F165</f>
        <v>22000</v>
      </c>
      <c r="G163" s="15">
        <v>0</v>
      </c>
      <c r="H163" s="7">
        <f aca="true" t="shared" si="34" ref="H163:H172">F163+G163</f>
        <v>22000</v>
      </c>
      <c r="I163" s="7">
        <f aca="true" t="shared" si="35" ref="I163:K172">C163+F163</f>
        <v>183698</v>
      </c>
      <c r="J163" s="7">
        <f t="shared" si="35"/>
        <v>42863</v>
      </c>
      <c r="K163" s="7">
        <f t="shared" si="35"/>
        <v>226561</v>
      </c>
    </row>
    <row r="164" spans="1:11" s="20" customFormat="1" ht="15" customHeight="1">
      <c r="A164" s="19">
        <v>92604</v>
      </c>
      <c r="B164" s="20" t="s">
        <v>108</v>
      </c>
      <c r="C164" s="21">
        <v>1813000</v>
      </c>
      <c r="D164" s="21">
        <v>0</v>
      </c>
      <c r="E164" s="22">
        <f t="shared" si="33"/>
        <v>1813000</v>
      </c>
      <c r="F164" s="21">
        <f>SUM(F165:F165)</f>
        <v>22000</v>
      </c>
      <c r="G164" s="21">
        <f>SUM(G165:G165)</f>
        <v>0</v>
      </c>
      <c r="H164" s="22">
        <f t="shared" si="34"/>
        <v>22000</v>
      </c>
      <c r="I164" s="22">
        <f t="shared" si="35"/>
        <v>1835000</v>
      </c>
      <c r="J164" s="22">
        <f t="shared" si="35"/>
        <v>0</v>
      </c>
      <c r="K164" s="22">
        <f t="shared" si="35"/>
        <v>1835000</v>
      </c>
    </row>
    <row r="165" spans="1:11" s="29" customFormat="1" ht="15" customHeight="1">
      <c r="A165" s="31" t="s">
        <v>31</v>
      </c>
      <c r="B165" s="29" t="s">
        <v>32</v>
      </c>
      <c r="C165" s="32">
        <v>0</v>
      </c>
      <c r="D165" s="32">
        <v>0</v>
      </c>
      <c r="E165" s="33">
        <f t="shared" si="33"/>
        <v>0</v>
      </c>
      <c r="F165" s="32">
        <v>22000</v>
      </c>
      <c r="G165" s="32">
        <v>0</v>
      </c>
      <c r="H165" s="33">
        <f t="shared" si="34"/>
        <v>22000</v>
      </c>
      <c r="I165" s="33">
        <f t="shared" si="35"/>
        <v>22000</v>
      </c>
      <c r="J165" s="33">
        <f t="shared" si="35"/>
        <v>0</v>
      </c>
      <c r="K165" s="33">
        <f t="shared" si="35"/>
        <v>22000</v>
      </c>
    </row>
    <row r="166" spans="1:11" s="20" customFormat="1" ht="15" customHeight="1">
      <c r="A166" s="19">
        <v>92605</v>
      </c>
      <c r="B166" s="20" t="s">
        <v>109</v>
      </c>
      <c r="C166" s="21">
        <v>707000</v>
      </c>
      <c r="D166" s="21">
        <v>0</v>
      </c>
      <c r="E166" s="22">
        <f t="shared" si="33"/>
        <v>707000</v>
      </c>
      <c r="F166" s="21">
        <f>SUM(F167:F167)</f>
        <v>27945</v>
      </c>
      <c r="G166" s="21">
        <f>SUM(G167:G167)</f>
        <v>0</v>
      </c>
      <c r="H166" s="22">
        <f t="shared" si="34"/>
        <v>27945</v>
      </c>
      <c r="I166" s="22">
        <f t="shared" si="35"/>
        <v>734945</v>
      </c>
      <c r="J166" s="22">
        <f t="shared" si="35"/>
        <v>0</v>
      </c>
      <c r="K166" s="22">
        <f t="shared" si="35"/>
        <v>734945</v>
      </c>
    </row>
    <row r="167" spans="1:11" s="29" customFormat="1" ht="15" customHeight="1">
      <c r="A167" s="31" t="s">
        <v>105</v>
      </c>
      <c r="B167" s="29" t="s">
        <v>106</v>
      </c>
      <c r="C167" s="32">
        <v>707000</v>
      </c>
      <c r="D167" s="32">
        <v>0</v>
      </c>
      <c r="E167" s="33">
        <f t="shared" si="33"/>
        <v>707000</v>
      </c>
      <c r="F167" s="32">
        <v>27945</v>
      </c>
      <c r="G167" s="32">
        <v>0</v>
      </c>
      <c r="H167" s="33">
        <f t="shared" si="34"/>
        <v>27945</v>
      </c>
      <c r="I167" s="33">
        <f t="shared" si="35"/>
        <v>734945</v>
      </c>
      <c r="J167" s="33">
        <f t="shared" si="35"/>
        <v>0</v>
      </c>
      <c r="K167" s="33">
        <f t="shared" si="35"/>
        <v>734945</v>
      </c>
    </row>
    <row r="168" spans="1:11" s="20" customFormat="1" ht="15" customHeight="1">
      <c r="A168" s="19">
        <v>92695</v>
      </c>
      <c r="B168" s="20" t="s">
        <v>19</v>
      </c>
      <c r="C168" s="21">
        <v>265198</v>
      </c>
      <c r="D168" s="21">
        <v>42863</v>
      </c>
      <c r="E168" s="22">
        <f t="shared" si="33"/>
        <v>308061</v>
      </c>
      <c r="F168" s="21">
        <f>SUM(F169:F172)</f>
        <v>-49945</v>
      </c>
      <c r="G168" s="21">
        <f>SUM(G172)</f>
        <v>0</v>
      </c>
      <c r="H168" s="22">
        <f t="shared" si="34"/>
        <v>-49945</v>
      </c>
      <c r="I168" s="22">
        <f t="shared" si="35"/>
        <v>215253</v>
      </c>
      <c r="J168" s="22">
        <f t="shared" si="35"/>
        <v>42863</v>
      </c>
      <c r="K168" s="22">
        <f t="shared" si="35"/>
        <v>258116</v>
      </c>
    </row>
    <row r="169" spans="1:11" s="25" customFormat="1" ht="15" customHeight="1">
      <c r="A169" s="24" t="s">
        <v>110</v>
      </c>
      <c r="B169" s="25" t="s">
        <v>111</v>
      </c>
      <c r="C169" s="26">
        <v>15000</v>
      </c>
      <c r="D169" s="26">
        <v>0</v>
      </c>
      <c r="E169" s="27">
        <f t="shared" si="33"/>
        <v>15000</v>
      </c>
      <c r="F169" s="26">
        <v>-11000</v>
      </c>
      <c r="G169" s="26">
        <v>0</v>
      </c>
      <c r="H169" s="27">
        <f t="shared" si="34"/>
        <v>-11000</v>
      </c>
      <c r="I169" s="27">
        <f t="shared" si="35"/>
        <v>4000</v>
      </c>
      <c r="J169" s="27">
        <f t="shared" si="35"/>
        <v>0</v>
      </c>
      <c r="K169" s="27">
        <f t="shared" si="35"/>
        <v>4000</v>
      </c>
    </row>
    <row r="170" spans="1:11" s="25" customFormat="1" ht="15" customHeight="1">
      <c r="A170" s="24" t="s">
        <v>56</v>
      </c>
      <c r="B170" s="25" t="s">
        <v>80</v>
      </c>
      <c r="C170" s="26">
        <v>10000</v>
      </c>
      <c r="D170" s="26">
        <v>0</v>
      </c>
      <c r="E170" s="27">
        <f t="shared" si="33"/>
        <v>10000</v>
      </c>
      <c r="F170" s="26">
        <v>-10000</v>
      </c>
      <c r="G170" s="26">
        <v>0</v>
      </c>
      <c r="H170" s="27">
        <f t="shared" si="34"/>
        <v>-10000</v>
      </c>
      <c r="I170" s="27">
        <f t="shared" si="35"/>
        <v>0</v>
      </c>
      <c r="J170" s="27">
        <f t="shared" si="35"/>
        <v>0</v>
      </c>
      <c r="K170" s="27">
        <f t="shared" si="35"/>
        <v>0</v>
      </c>
    </row>
    <row r="171" spans="1:11" s="25" customFormat="1" ht="15" customHeight="1">
      <c r="A171" s="24" t="s">
        <v>36</v>
      </c>
      <c r="B171" s="25" t="s">
        <v>40</v>
      </c>
      <c r="C171" s="26">
        <v>23000</v>
      </c>
      <c r="D171" s="26">
        <v>0</v>
      </c>
      <c r="E171" s="27">
        <f t="shared" si="33"/>
        <v>23000</v>
      </c>
      <c r="F171" s="26">
        <v>2174</v>
      </c>
      <c r="G171" s="26">
        <v>0</v>
      </c>
      <c r="H171" s="27">
        <f t="shared" si="34"/>
        <v>2174</v>
      </c>
      <c r="I171" s="27">
        <f t="shared" si="35"/>
        <v>25174</v>
      </c>
      <c r="J171" s="27">
        <f t="shared" si="35"/>
        <v>0</v>
      </c>
      <c r="K171" s="27">
        <f t="shared" si="35"/>
        <v>25174</v>
      </c>
    </row>
    <row r="172" spans="1:11" s="29" customFormat="1" ht="15" customHeight="1">
      <c r="A172" s="31" t="s">
        <v>20</v>
      </c>
      <c r="B172" s="29" t="s">
        <v>21</v>
      </c>
      <c r="C172" s="32">
        <v>55500</v>
      </c>
      <c r="D172" s="32">
        <v>0</v>
      </c>
      <c r="E172" s="33">
        <f t="shared" si="33"/>
        <v>55500</v>
      </c>
      <c r="F172" s="32">
        <v>-31119</v>
      </c>
      <c r="G172" s="32">
        <v>0</v>
      </c>
      <c r="H172" s="33">
        <f t="shared" si="34"/>
        <v>-31119</v>
      </c>
      <c r="I172" s="33">
        <f t="shared" si="35"/>
        <v>24381</v>
      </c>
      <c r="J172" s="33">
        <f t="shared" si="35"/>
        <v>0</v>
      </c>
      <c r="K172" s="33">
        <f t="shared" si="35"/>
        <v>24381</v>
      </c>
    </row>
    <row r="173" spans="1:11" s="45" customFormat="1" ht="15" customHeight="1">
      <c r="A173" s="47"/>
      <c r="C173" s="48"/>
      <c r="D173" s="48"/>
      <c r="E173" s="49"/>
      <c r="F173" s="48"/>
      <c r="G173" s="48"/>
      <c r="H173" s="49"/>
      <c r="I173" s="49"/>
      <c r="J173" s="49"/>
      <c r="K173" s="50"/>
    </row>
    <row r="174" spans="1:11" s="35" customFormat="1" ht="34.5" customHeight="1">
      <c r="A174" s="52" t="s">
        <v>27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4"/>
    </row>
    <row r="175" spans="1:11" ht="15" customHeight="1">
      <c r="A175" s="13" t="s">
        <v>28</v>
      </c>
      <c r="B175" s="14" t="s">
        <v>15</v>
      </c>
      <c r="C175" s="15">
        <v>40640991</v>
      </c>
      <c r="D175" s="15">
        <v>13043390</v>
      </c>
      <c r="E175" s="7">
        <f>SUM(C175:D175)</f>
        <v>53684381</v>
      </c>
      <c r="F175" s="15">
        <f>F178+F186+F202+F210+F248+F284</f>
        <v>-349676</v>
      </c>
      <c r="G175" s="15">
        <f>G178+G186+G202+G210+G248+G284+G196</f>
        <v>86087</v>
      </c>
      <c r="H175" s="7">
        <f>F175+G175</f>
        <v>-263589</v>
      </c>
      <c r="I175" s="7">
        <f>C175+F175</f>
        <v>40291315</v>
      </c>
      <c r="J175" s="7">
        <f>D175+G175</f>
        <v>13129477</v>
      </c>
      <c r="K175" s="7">
        <f>E175+H175</f>
        <v>53420792</v>
      </c>
    </row>
    <row r="176" spans="1:11" ht="15" customHeight="1">
      <c r="A176" s="13"/>
      <c r="B176" s="14" t="s">
        <v>16</v>
      </c>
      <c r="C176" s="15"/>
      <c r="D176" s="15"/>
      <c r="E176" s="15"/>
      <c r="F176" s="15"/>
      <c r="G176" s="15"/>
      <c r="H176" s="7"/>
      <c r="I176" s="7"/>
      <c r="J176" s="7"/>
      <c r="K176" s="7"/>
    </row>
    <row r="177" spans="1:11" ht="15" customHeight="1">
      <c r="A177" s="16"/>
      <c r="B177" s="17" t="s">
        <v>12</v>
      </c>
      <c r="C177" s="18">
        <v>3235500</v>
      </c>
      <c r="D177" s="18">
        <v>3650</v>
      </c>
      <c r="E177" s="9">
        <f>SUM(C177:D177)</f>
        <v>3239150</v>
      </c>
      <c r="F177" s="15">
        <f>F180+F188+F204+F212+F250+F286</f>
        <v>-86000</v>
      </c>
      <c r="G177" s="15">
        <f>G180+G188+G204+G212+G250+G286</f>
        <v>4000</v>
      </c>
      <c r="H177" s="9">
        <f>F177+G177</f>
        <v>-82000</v>
      </c>
      <c r="I177" s="9">
        <f aca="true" t="shared" si="36" ref="I177:K178">C177+F177</f>
        <v>3149500</v>
      </c>
      <c r="J177" s="9">
        <f t="shared" si="36"/>
        <v>7650</v>
      </c>
      <c r="K177" s="9">
        <f t="shared" si="36"/>
        <v>3157150</v>
      </c>
    </row>
    <row r="178" spans="1:11" s="20" customFormat="1" ht="15" customHeight="1">
      <c r="A178" s="10" t="s">
        <v>71</v>
      </c>
      <c r="B178" s="11" t="s">
        <v>72</v>
      </c>
      <c r="C178" s="12">
        <v>6367500</v>
      </c>
      <c r="D178" s="12">
        <v>0</v>
      </c>
      <c r="E178" s="5">
        <f>SUM(C178:D178)</f>
        <v>6367500</v>
      </c>
      <c r="F178" s="12">
        <f>F181</f>
        <v>-199923</v>
      </c>
      <c r="G178" s="12">
        <v>0</v>
      </c>
      <c r="H178" s="5">
        <f>F178+G178</f>
        <v>-199923</v>
      </c>
      <c r="I178" s="5">
        <f t="shared" si="36"/>
        <v>6167577</v>
      </c>
      <c r="J178" s="5">
        <f t="shared" si="36"/>
        <v>0</v>
      </c>
      <c r="K178" s="5">
        <f t="shared" si="36"/>
        <v>6167577</v>
      </c>
    </row>
    <row r="179" spans="1:11" s="25" customFormat="1" ht="15" customHeight="1">
      <c r="A179" s="13"/>
      <c r="B179" s="14" t="s">
        <v>11</v>
      </c>
      <c r="C179" s="15"/>
      <c r="D179" s="15"/>
      <c r="E179" s="7"/>
      <c r="F179" s="15"/>
      <c r="G179" s="15"/>
      <c r="H179" s="7"/>
      <c r="I179" s="7"/>
      <c r="J179" s="7"/>
      <c r="K179" s="7"/>
    </row>
    <row r="180" spans="1:11" s="29" customFormat="1" ht="14.25" customHeight="1">
      <c r="A180" s="16"/>
      <c r="B180" s="17" t="s">
        <v>12</v>
      </c>
      <c r="C180" s="18">
        <v>2999500</v>
      </c>
      <c r="D180" s="18">
        <v>0</v>
      </c>
      <c r="E180" s="9">
        <f aca="true" t="shared" si="37" ref="E180:E186">SUM(C180:D180)</f>
        <v>2999500</v>
      </c>
      <c r="F180" s="18">
        <f>F185</f>
        <v>10000</v>
      </c>
      <c r="G180" s="18">
        <v>0</v>
      </c>
      <c r="H180" s="9">
        <f aca="true" t="shared" si="38" ref="H180:H186">F180+G180</f>
        <v>10000</v>
      </c>
      <c r="I180" s="9">
        <f aca="true" t="shared" si="39" ref="I180:K186">C180+F180</f>
        <v>3009500</v>
      </c>
      <c r="J180" s="9">
        <f t="shared" si="39"/>
        <v>0</v>
      </c>
      <c r="K180" s="9">
        <f t="shared" si="39"/>
        <v>3009500</v>
      </c>
    </row>
    <row r="181" spans="1:11" s="20" customFormat="1" ht="15" customHeight="1">
      <c r="A181" s="19">
        <v>60015</v>
      </c>
      <c r="B181" s="20" t="s">
        <v>155</v>
      </c>
      <c r="C181" s="21">
        <v>6362500</v>
      </c>
      <c r="D181" s="21">
        <v>0</v>
      </c>
      <c r="E181" s="22">
        <f t="shared" si="37"/>
        <v>6362500</v>
      </c>
      <c r="F181" s="21">
        <f>SUM(F182:F185)</f>
        <v>-199923</v>
      </c>
      <c r="G181" s="21">
        <f>SUM(G184:G184)</f>
        <v>0</v>
      </c>
      <c r="H181" s="22">
        <f t="shared" si="38"/>
        <v>-199923</v>
      </c>
      <c r="I181" s="22">
        <f t="shared" si="39"/>
        <v>6162577</v>
      </c>
      <c r="J181" s="22">
        <f t="shared" si="39"/>
        <v>0</v>
      </c>
      <c r="K181" s="22">
        <f t="shared" si="39"/>
        <v>6162577</v>
      </c>
    </row>
    <row r="182" spans="1:11" s="25" customFormat="1" ht="15" customHeight="1">
      <c r="A182" s="24" t="s">
        <v>25</v>
      </c>
      <c r="B182" s="25" t="s">
        <v>26</v>
      </c>
      <c r="C182" s="26">
        <v>3273000</v>
      </c>
      <c r="D182" s="26">
        <v>0</v>
      </c>
      <c r="E182" s="27">
        <f t="shared" si="37"/>
        <v>3273000</v>
      </c>
      <c r="F182" s="26">
        <f>-182889</f>
        <v>-182889</v>
      </c>
      <c r="G182" s="26">
        <v>0</v>
      </c>
      <c r="H182" s="27">
        <f t="shared" si="38"/>
        <v>-182889</v>
      </c>
      <c r="I182" s="27">
        <f t="shared" si="39"/>
        <v>3090111</v>
      </c>
      <c r="J182" s="27">
        <f t="shared" si="39"/>
        <v>0</v>
      </c>
      <c r="K182" s="27">
        <f t="shared" si="39"/>
        <v>3090111</v>
      </c>
    </row>
    <row r="183" spans="1:11" s="25" customFormat="1" ht="15" customHeight="1">
      <c r="A183" s="24" t="s">
        <v>20</v>
      </c>
      <c r="B183" s="25" t="s">
        <v>21</v>
      </c>
      <c r="C183" s="26">
        <v>60000</v>
      </c>
      <c r="D183" s="26">
        <v>0</v>
      </c>
      <c r="E183" s="27">
        <f t="shared" si="37"/>
        <v>60000</v>
      </c>
      <c r="F183" s="26">
        <f>-23034</f>
        <v>-23034</v>
      </c>
      <c r="G183" s="26">
        <v>0</v>
      </c>
      <c r="H183" s="27">
        <f t="shared" si="38"/>
        <v>-23034</v>
      </c>
      <c r="I183" s="27">
        <f t="shared" si="39"/>
        <v>36966</v>
      </c>
      <c r="J183" s="27">
        <f t="shared" si="39"/>
        <v>0</v>
      </c>
      <c r="K183" s="27">
        <f t="shared" si="39"/>
        <v>36966</v>
      </c>
    </row>
    <row r="184" spans="1:11" s="25" customFormat="1" ht="15" customHeight="1">
      <c r="A184" s="24" t="s">
        <v>78</v>
      </c>
      <c r="B184" s="25" t="s">
        <v>128</v>
      </c>
      <c r="C184" s="26">
        <v>30000</v>
      </c>
      <c r="D184" s="26">
        <v>0</v>
      </c>
      <c r="E184" s="27">
        <f t="shared" si="37"/>
        <v>30000</v>
      </c>
      <c r="F184" s="26">
        <v>-4000</v>
      </c>
      <c r="G184" s="26">
        <v>0</v>
      </c>
      <c r="H184" s="27">
        <f t="shared" si="38"/>
        <v>-4000</v>
      </c>
      <c r="I184" s="27">
        <f t="shared" si="39"/>
        <v>26000</v>
      </c>
      <c r="J184" s="27">
        <f t="shared" si="39"/>
        <v>0</v>
      </c>
      <c r="K184" s="27">
        <f t="shared" si="39"/>
        <v>26000</v>
      </c>
    </row>
    <row r="185" spans="1:11" s="29" customFormat="1" ht="15" customHeight="1">
      <c r="A185" s="31" t="s">
        <v>52</v>
      </c>
      <c r="B185" s="29" t="s">
        <v>130</v>
      </c>
      <c r="C185" s="32">
        <v>2999500</v>
      </c>
      <c r="D185" s="32">
        <v>0</v>
      </c>
      <c r="E185" s="33">
        <f>SUM(C185:D185)</f>
        <v>2999500</v>
      </c>
      <c r="F185" s="32">
        <v>10000</v>
      </c>
      <c r="G185" s="32">
        <v>0</v>
      </c>
      <c r="H185" s="33">
        <f>F185+G185</f>
        <v>10000</v>
      </c>
      <c r="I185" s="33">
        <f>C185+F185</f>
        <v>3009500</v>
      </c>
      <c r="J185" s="33">
        <f>D185+G185</f>
        <v>0</v>
      </c>
      <c r="K185" s="33">
        <f>E185+H185</f>
        <v>3009500</v>
      </c>
    </row>
    <row r="186" spans="1:11" s="20" customFormat="1" ht="15" customHeight="1">
      <c r="A186" s="10" t="s">
        <v>69</v>
      </c>
      <c r="B186" s="11" t="s">
        <v>70</v>
      </c>
      <c r="C186" s="12">
        <v>150000</v>
      </c>
      <c r="D186" s="12">
        <v>221650</v>
      </c>
      <c r="E186" s="5">
        <f t="shared" si="37"/>
        <v>371650</v>
      </c>
      <c r="F186" s="12">
        <f>F189</f>
        <v>0</v>
      </c>
      <c r="G186" s="12">
        <f>G189</f>
        <v>12857</v>
      </c>
      <c r="H186" s="5">
        <f t="shared" si="38"/>
        <v>12857</v>
      </c>
      <c r="I186" s="5">
        <f t="shared" si="39"/>
        <v>150000</v>
      </c>
      <c r="J186" s="5">
        <f t="shared" si="39"/>
        <v>234507</v>
      </c>
      <c r="K186" s="5">
        <f t="shared" si="39"/>
        <v>384507</v>
      </c>
    </row>
    <row r="187" spans="1:11" s="25" customFormat="1" ht="15" customHeight="1">
      <c r="A187" s="13"/>
      <c r="B187" s="14" t="s">
        <v>11</v>
      </c>
      <c r="C187" s="15"/>
      <c r="D187" s="15"/>
      <c r="E187" s="7"/>
      <c r="F187" s="15"/>
      <c r="G187" s="15"/>
      <c r="H187" s="7"/>
      <c r="I187" s="7"/>
      <c r="J187" s="7"/>
      <c r="K187" s="7"/>
    </row>
    <row r="188" spans="1:11" s="29" customFormat="1" ht="15" customHeight="1">
      <c r="A188" s="16"/>
      <c r="B188" s="17" t="s">
        <v>12</v>
      </c>
      <c r="C188" s="18">
        <v>0</v>
      </c>
      <c r="D188" s="18">
        <v>3650</v>
      </c>
      <c r="E188" s="9">
        <f aca="true" t="shared" si="40" ref="E188:E196">SUM(C188:D188)</f>
        <v>3650</v>
      </c>
      <c r="F188" s="18">
        <v>0</v>
      </c>
      <c r="G188" s="18">
        <f>G195</f>
        <v>4000</v>
      </c>
      <c r="H188" s="9">
        <f aca="true" t="shared" si="41" ref="H188:H196">F188+G188</f>
        <v>4000</v>
      </c>
      <c r="I188" s="9">
        <f aca="true" t="shared" si="42" ref="I188:I196">C188+F188</f>
        <v>0</v>
      </c>
      <c r="J188" s="9">
        <f aca="true" t="shared" si="43" ref="J188:J196">D188+G188</f>
        <v>7650</v>
      </c>
      <c r="K188" s="9">
        <f aca="true" t="shared" si="44" ref="K188:K196">E188+H188</f>
        <v>7650</v>
      </c>
    </row>
    <row r="189" spans="1:11" s="20" customFormat="1" ht="15" customHeight="1">
      <c r="A189" s="19">
        <v>71015</v>
      </c>
      <c r="B189" s="20" t="s">
        <v>112</v>
      </c>
      <c r="C189" s="21">
        <v>0</v>
      </c>
      <c r="D189" s="21">
        <v>131650</v>
      </c>
      <c r="E189" s="22">
        <f t="shared" si="40"/>
        <v>131650</v>
      </c>
      <c r="F189" s="21">
        <f>SUM(F194:F194)</f>
        <v>0</v>
      </c>
      <c r="G189" s="21">
        <f>SUM(G190:G195)</f>
        <v>12857</v>
      </c>
      <c r="H189" s="22">
        <f t="shared" si="41"/>
        <v>12857</v>
      </c>
      <c r="I189" s="22">
        <f t="shared" si="42"/>
        <v>0</v>
      </c>
      <c r="J189" s="22">
        <f t="shared" si="43"/>
        <v>144507</v>
      </c>
      <c r="K189" s="22">
        <f t="shared" si="44"/>
        <v>144507</v>
      </c>
    </row>
    <row r="190" spans="1:11" s="25" customFormat="1" ht="15" customHeight="1">
      <c r="A190" s="24" t="s">
        <v>156</v>
      </c>
      <c r="B190" s="25" t="s">
        <v>157</v>
      </c>
      <c r="C190" s="26">
        <v>0</v>
      </c>
      <c r="D190" s="26">
        <v>37750</v>
      </c>
      <c r="E190" s="27">
        <f t="shared" si="40"/>
        <v>37750</v>
      </c>
      <c r="F190" s="26">
        <v>0</v>
      </c>
      <c r="G190" s="26">
        <v>4000</v>
      </c>
      <c r="H190" s="27">
        <f t="shared" si="41"/>
        <v>4000</v>
      </c>
      <c r="I190" s="27">
        <f t="shared" si="42"/>
        <v>0</v>
      </c>
      <c r="J190" s="27">
        <f t="shared" si="43"/>
        <v>41750</v>
      </c>
      <c r="K190" s="27">
        <f t="shared" si="44"/>
        <v>41750</v>
      </c>
    </row>
    <row r="191" spans="1:11" s="25" customFormat="1" ht="15" customHeight="1">
      <c r="A191" s="24" t="s">
        <v>34</v>
      </c>
      <c r="B191" s="25" t="s">
        <v>38</v>
      </c>
      <c r="C191" s="26">
        <v>0</v>
      </c>
      <c r="D191" s="26">
        <v>16685</v>
      </c>
      <c r="E191" s="27">
        <f t="shared" si="40"/>
        <v>16685</v>
      </c>
      <c r="F191" s="26">
        <v>0</v>
      </c>
      <c r="G191" s="26">
        <v>700</v>
      </c>
      <c r="H191" s="27">
        <f t="shared" si="41"/>
        <v>700</v>
      </c>
      <c r="I191" s="27">
        <f t="shared" si="42"/>
        <v>0</v>
      </c>
      <c r="J191" s="27">
        <f t="shared" si="43"/>
        <v>17385</v>
      </c>
      <c r="K191" s="27">
        <f t="shared" si="44"/>
        <v>17385</v>
      </c>
    </row>
    <row r="192" spans="1:11" s="25" customFormat="1" ht="15" customHeight="1">
      <c r="A192" s="24" t="s">
        <v>35</v>
      </c>
      <c r="B192" s="25" t="s">
        <v>39</v>
      </c>
      <c r="C192" s="26">
        <v>0</v>
      </c>
      <c r="D192" s="26">
        <v>2285</v>
      </c>
      <c r="E192" s="27">
        <f t="shared" si="40"/>
        <v>2285</v>
      </c>
      <c r="F192" s="26">
        <v>0</v>
      </c>
      <c r="G192" s="26">
        <v>87</v>
      </c>
      <c r="H192" s="27">
        <f t="shared" si="41"/>
        <v>87</v>
      </c>
      <c r="I192" s="27">
        <f t="shared" si="42"/>
        <v>0</v>
      </c>
      <c r="J192" s="27">
        <f t="shared" si="43"/>
        <v>2372</v>
      </c>
      <c r="K192" s="27">
        <f t="shared" si="44"/>
        <v>2372</v>
      </c>
    </row>
    <row r="193" spans="1:11" s="25" customFormat="1" ht="15" customHeight="1">
      <c r="A193" s="24" t="s">
        <v>36</v>
      </c>
      <c r="B193" s="25" t="s">
        <v>40</v>
      </c>
      <c r="C193" s="26">
        <v>0</v>
      </c>
      <c r="D193" s="26">
        <v>1320</v>
      </c>
      <c r="E193" s="27">
        <f t="shared" si="40"/>
        <v>1320</v>
      </c>
      <c r="F193" s="26">
        <v>0</v>
      </c>
      <c r="G193" s="26">
        <v>2000</v>
      </c>
      <c r="H193" s="27">
        <f t="shared" si="41"/>
        <v>2000</v>
      </c>
      <c r="I193" s="27">
        <f t="shared" si="42"/>
        <v>0</v>
      </c>
      <c r="J193" s="27">
        <f t="shared" si="43"/>
        <v>3320</v>
      </c>
      <c r="K193" s="27">
        <f t="shared" si="44"/>
        <v>3320</v>
      </c>
    </row>
    <row r="194" spans="1:11" s="25" customFormat="1" ht="15" customHeight="1">
      <c r="A194" s="24" t="s">
        <v>20</v>
      </c>
      <c r="B194" s="25" t="s">
        <v>21</v>
      </c>
      <c r="C194" s="26">
        <v>0</v>
      </c>
      <c r="D194" s="26">
        <v>7500</v>
      </c>
      <c r="E194" s="27">
        <f t="shared" si="40"/>
        <v>7500</v>
      </c>
      <c r="F194" s="26">
        <v>0</v>
      </c>
      <c r="G194" s="26">
        <f>1800+270</f>
        <v>2070</v>
      </c>
      <c r="H194" s="27">
        <f t="shared" si="41"/>
        <v>2070</v>
      </c>
      <c r="I194" s="27">
        <f t="shared" si="42"/>
        <v>0</v>
      </c>
      <c r="J194" s="27">
        <f t="shared" si="43"/>
        <v>9570</v>
      </c>
      <c r="K194" s="27">
        <f t="shared" si="44"/>
        <v>9570</v>
      </c>
    </row>
    <row r="195" spans="1:11" s="29" customFormat="1" ht="15" customHeight="1">
      <c r="A195" s="31" t="s">
        <v>31</v>
      </c>
      <c r="B195" s="29" t="s">
        <v>32</v>
      </c>
      <c r="C195" s="32">
        <v>0</v>
      </c>
      <c r="D195" s="32">
        <v>3650</v>
      </c>
      <c r="E195" s="33">
        <f t="shared" si="40"/>
        <v>3650</v>
      </c>
      <c r="F195" s="32">
        <v>0</v>
      </c>
      <c r="G195" s="32">
        <v>4000</v>
      </c>
      <c r="H195" s="33">
        <f t="shared" si="41"/>
        <v>4000</v>
      </c>
      <c r="I195" s="33">
        <f t="shared" si="42"/>
        <v>0</v>
      </c>
      <c r="J195" s="33">
        <f t="shared" si="43"/>
        <v>7650</v>
      </c>
      <c r="K195" s="33">
        <f t="shared" si="44"/>
        <v>7650</v>
      </c>
    </row>
    <row r="196" spans="1:11" s="20" customFormat="1" ht="15" customHeight="1">
      <c r="A196" s="10" t="s">
        <v>148</v>
      </c>
      <c r="B196" s="11" t="s">
        <v>149</v>
      </c>
      <c r="C196" s="12">
        <v>1070921</v>
      </c>
      <c r="D196" s="12">
        <v>189239</v>
      </c>
      <c r="E196" s="5">
        <f t="shared" si="40"/>
        <v>1260160</v>
      </c>
      <c r="F196" s="12">
        <f>F199</f>
        <v>0</v>
      </c>
      <c r="G196" s="12">
        <f>G199</f>
        <v>-4253</v>
      </c>
      <c r="H196" s="5">
        <f t="shared" si="41"/>
        <v>-4253</v>
      </c>
      <c r="I196" s="5">
        <f t="shared" si="42"/>
        <v>1070921</v>
      </c>
      <c r="J196" s="5">
        <f t="shared" si="43"/>
        <v>184986</v>
      </c>
      <c r="K196" s="5">
        <f t="shared" si="44"/>
        <v>1255907</v>
      </c>
    </row>
    <row r="197" spans="1:11" s="25" customFormat="1" ht="15" customHeight="1">
      <c r="A197" s="13"/>
      <c r="B197" s="14" t="s">
        <v>11</v>
      </c>
      <c r="C197" s="15"/>
      <c r="D197" s="15"/>
      <c r="E197" s="7"/>
      <c r="F197" s="15"/>
      <c r="G197" s="15"/>
      <c r="H197" s="7"/>
      <c r="I197" s="7"/>
      <c r="J197" s="7"/>
      <c r="K197" s="7"/>
    </row>
    <row r="198" spans="1:11" s="29" customFormat="1" ht="15" customHeight="1">
      <c r="A198" s="16"/>
      <c r="B198" s="17" t="s">
        <v>12</v>
      </c>
      <c r="C198" s="18">
        <v>0</v>
      </c>
      <c r="D198" s="18">
        <v>0</v>
      </c>
      <c r="E198" s="9">
        <f>SUM(C198:D198)</f>
        <v>0</v>
      </c>
      <c r="F198" s="18">
        <v>0</v>
      </c>
      <c r="G198" s="18">
        <v>0</v>
      </c>
      <c r="H198" s="9">
        <f>F198+G198</f>
        <v>0</v>
      </c>
      <c r="I198" s="9">
        <f aca="true" t="shared" si="45" ref="I198:K202">C198+F198</f>
        <v>0</v>
      </c>
      <c r="J198" s="9">
        <f t="shared" si="45"/>
        <v>0</v>
      </c>
      <c r="K198" s="9">
        <f t="shared" si="45"/>
        <v>0</v>
      </c>
    </row>
    <row r="199" spans="1:11" s="20" customFormat="1" ht="15" customHeight="1">
      <c r="A199" s="19">
        <v>75045</v>
      </c>
      <c r="B199" s="20" t="s">
        <v>150</v>
      </c>
      <c r="C199" s="21">
        <v>0</v>
      </c>
      <c r="D199" s="21">
        <v>29940</v>
      </c>
      <c r="E199" s="22">
        <f>SUM(C199:D199)</f>
        <v>29940</v>
      </c>
      <c r="F199" s="21">
        <v>0</v>
      </c>
      <c r="G199" s="21">
        <f>SUM(G200:G201)</f>
        <v>-4253</v>
      </c>
      <c r="H199" s="22">
        <f>F199+G199</f>
        <v>-4253</v>
      </c>
      <c r="I199" s="22">
        <f t="shared" si="45"/>
        <v>0</v>
      </c>
      <c r="J199" s="22">
        <f t="shared" si="45"/>
        <v>25687</v>
      </c>
      <c r="K199" s="22">
        <f t="shared" si="45"/>
        <v>25687</v>
      </c>
    </row>
    <row r="200" spans="1:11" s="25" customFormat="1" ht="15" customHeight="1">
      <c r="A200" s="24" t="s">
        <v>64</v>
      </c>
      <c r="B200" s="25" t="s">
        <v>151</v>
      </c>
      <c r="C200" s="26">
        <v>0</v>
      </c>
      <c r="D200" s="26">
        <v>7504</v>
      </c>
      <c r="E200" s="27">
        <f>SUM(C200:D200)</f>
        <v>7504</v>
      </c>
      <c r="F200" s="26">
        <v>0</v>
      </c>
      <c r="G200" s="26">
        <v>-3316</v>
      </c>
      <c r="H200" s="27">
        <f>F200+G200</f>
        <v>-3316</v>
      </c>
      <c r="I200" s="27">
        <f t="shared" si="45"/>
        <v>0</v>
      </c>
      <c r="J200" s="27">
        <f t="shared" si="45"/>
        <v>4188</v>
      </c>
      <c r="K200" s="27">
        <f t="shared" si="45"/>
        <v>4188</v>
      </c>
    </row>
    <row r="201" spans="1:11" s="25" customFormat="1" ht="15" customHeight="1">
      <c r="A201" s="24" t="s">
        <v>36</v>
      </c>
      <c r="B201" s="25" t="s">
        <v>40</v>
      </c>
      <c r="C201" s="26">
        <v>0</v>
      </c>
      <c r="D201" s="26">
        <v>2113</v>
      </c>
      <c r="E201" s="27">
        <f>SUM(C201:D201)</f>
        <v>2113</v>
      </c>
      <c r="F201" s="26">
        <v>0</v>
      </c>
      <c r="G201" s="26">
        <v>-937</v>
      </c>
      <c r="H201" s="27">
        <f>F201+G201</f>
        <v>-937</v>
      </c>
      <c r="I201" s="27">
        <f t="shared" si="45"/>
        <v>0</v>
      </c>
      <c r="J201" s="27">
        <f t="shared" si="45"/>
        <v>1176</v>
      </c>
      <c r="K201" s="27">
        <f t="shared" si="45"/>
        <v>1176</v>
      </c>
    </row>
    <row r="202" spans="1:11" s="20" customFormat="1" ht="15" customHeight="1">
      <c r="A202" s="10" t="s">
        <v>17</v>
      </c>
      <c r="B202" s="11" t="s">
        <v>18</v>
      </c>
      <c r="C202" s="12">
        <v>126120</v>
      </c>
      <c r="D202" s="12">
        <v>4403500</v>
      </c>
      <c r="E202" s="5">
        <f>SUM(C202:D202)</f>
        <v>4529620</v>
      </c>
      <c r="F202" s="12">
        <f>F205+F207</f>
        <v>300</v>
      </c>
      <c r="G202" s="12">
        <f>G205</f>
        <v>6000</v>
      </c>
      <c r="H202" s="5">
        <f>F202+G202</f>
        <v>6300</v>
      </c>
      <c r="I202" s="5">
        <f t="shared" si="45"/>
        <v>126420</v>
      </c>
      <c r="J202" s="5">
        <f t="shared" si="45"/>
        <v>4409500</v>
      </c>
      <c r="K202" s="5">
        <f t="shared" si="45"/>
        <v>4535920</v>
      </c>
    </row>
    <row r="203" spans="1:11" s="25" customFormat="1" ht="15" customHeight="1">
      <c r="A203" s="13"/>
      <c r="B203" s="14" t="s">
        <v>11</v>
      </c>
      <c r="C203" s="15"/>
      <c r="D203" s="15"/>
      <c r="E203" s="7"/>
      <c r="F203" s="15"/>
      <c r="G203" s="15"/>
      <c r="H203" s="7"/>
      <c r="I203" s="7"/>
      <c r="J203" s="7"/>
      <c r="K203" s="7"/>
    </row>
    <row r="204" spans="1:11" s="29" customFormat="1" ht="15" customHeight="1">
      <c r="A204" s="16"/>
      <c r="B204" s="17" t="s">
        <v>12</v>
      </c>
      <c r="C204" s="18">
        <v>0</v>
      </c>
      <c r="D204" s="18">
        <v>0</v>
      </c>
      <c r="E204" s="9">
        <f aca="true" t="shared" si="46" ref="E204:E210">SUM(C204:D204)</f>
        <v>0</v>
      </c>
      <c r="F204" s="18">
        <v>0</v>
      </c>
      <c r="G204" s="18">
        <v>0</v>
      </c>
      <c r="H204" s="9">
        <f aca="true" t="shared" si="47" ref="H204:H210">F204+G204</f>
        <v>0</v>
      </c>
      <c r="I204" s="9">
        <f aca="true" t="shared" si="48" ref="I204:K209">C204+F204</f>
        <v>0</v>
      </c>
      <c r="J204" s="9">
        <f t="shared" si="48"/>
        <v>0</v>
      </c>
      <c r="K204" s="9">
        <f t="shared" si="48"/>
        <v>0</v>
      </c>
    </row>
    <row r="205" spans="1:11" s="20" customFormat="1" ht="15" customHeight="1">
      <c r="A205" s="19">
        <v>75411</v>
      </c>
      <c r="B205" s="20" t="s">
        <v>145</v>
      </c>
      <c r="C205" s="21">
        <v>100000</v>
      </c>
      <c r="D205" s="21">
        <v>4403500</v>
      </c>
      <c r="E205" s="22">
        <f t="shared" si="46"/>
        <v>4503500</v>
      </c>
      <c r="F205" s="21">
        <f>SUM(F206:F206)</f>
        <v>0</v>
      </c>
      <c r="G205" s="21">
        <f>SUM(G206:G206)</f>
        <v>6000</v>
      </c>
      <c r="H205" s="22">
        <f t="shared" si="47"/>
        <v>6000</v>
      </c>
      <c r="I205" s="22">
        <f t="shared" si="48"/>
        <v>100000</v>
      </c>
      <c r="J205" s="22">
        <f t="shared" si="48"/>
        <v>4409500</v>
      </c>
      <c r="K205" s="22">
        <f t="shared" si="48"/>
        <v>4509500</v>
      </c>
    </row>
    <row r="206" spans="1:11" s="29" customFormat="1" ht="15" customHeight="1">
      <c r="A206" s="31" t="s">
        <v>25</v>
      </c>
      <c r="B206" s="29" t="s">
        <v>26</v>
      </c>
      <c r="C206" s="32">
        <v>0</v>
      </c>
      <c r="D206" s="32">
        <v>25000</v>
      </c>
      <c r="E206" s="33">
        <f t="shared" si="46"/>
        <v>25000</v>
      </c>
      <c r="F206" s="32">
        <v>0</v>
      </c>
      <c r="G206" s="32">
        <v>6000</v>
      </c>
      <c r="H206" s="33">
        <f t="shared" si="47"/>
        <v>6000</v>
      </c>
      <c r="I206" s="33">
        <f t="shared" si="48"/>
        <v>0</v>
      </c>
      <c r="J206" s="33">
        <f t="shared" si="48"/>
        <v>31000</v>
      </c>
      <c r="K206" s="33">
        <f t="shared" si="48"/>
        <v>31000</v>
      </c>
    </row>
    <row r="207" spans="1:11" s="38" customFormat="1" ht="15" customHeight="1">
      <c r="A207" s="37">
        <v>75495</v>
      </c>
      <c r="B207" s="38" t="s">
        <v>19</v>
      </c>
      <c r="C207" s="21">
        <v>11000</v>
      </c>
      <c r="D207" s="21">
        <v>0</v>
      </c>
      <c r="E207" s="22">
        <f t="shared" si="46"/>
        <v>11000</v>
      </c>
      <c r="F207" s="23">
        <f>SUM(F208:F209)</f>
        <v>300</v>
      </c>
      <c r="G207" s="23">
        <f>SUM(G211:G213)</f>
        <v>0</v>
      </c>
      <c r="H207" s="22">
        <f t="shared" si="47"/>
        <v>300</v>
      </c>
      <c r="I207" s="22">
        <f t="shared" si="48"/>
        <v>11300</v>
      </c>
      <c r="J207" s="22">
        <f t="shared" si="48"/>
        <v>0</v>
      </c>
      <c r="K207" s="22">
        <f t="shared" si="48"/>
        <v>11300</v>
      </c>
    </row>
    <row r="208" spans="1:11" s="42" customFormat="1" ht="15" customHeight="1">
      <c r="A208" s="41" t="s">
        <v>36</v>
      </c>
      <c r="B208" s="42" t="s">
        <v>40</v>
      </c>
      <c r="C208" s="26">
        <v>9000</v>
      </c>
      <c r="D208" s="26">
        <v>0</v>
      </c>
      <c r="E208" s="27">
        <f t="shared" si="46"/>
        <v>9000</v>
      </c>
      <c r="F208" s="28">
        <v>1030</v>
      </c>
      <c r="G208" s="28">
        <v>0</v>
      </c>
      <c r="H208" s="27">
        <f t="shared" si="47"/>
        <v>1030</v>
      </c>
      <c r="I208" s="27">
        <f t="shared" si="48"/>
        <v>10030</v>
      </c>
      <c r="J208" s="27">
        <f t="shared" si="48"/>
        <v>0</v>
      </c>
      <c r="K208" s="27">
        <f t="shared" si="48"/>
        <v>10030</v>
      </c>
    </row>
    <row r="209" spans="1:11" s="42" customFormat="1" ht="15" customHeight="1">
      <c r="A209" s="41" t="s">
        <v>20</v>
      </c>
      <c r="B209" s="42" t="s">
        <v>21</v>
      </c>
      <c r="C209" s="26">
        <v>2000</v>
      </c>
      <c r="D209" s="26">
        <v>0</v>
      </c>
      <c r="E209" s="27">
        <f t="shared" si="46"/>
        <v>2000</v>
      </c>
      <c r="F209" s="28">
        <v>-730</v>
      </c>
      <c r="G209" s="28">
        <v>0</v>
      </c>
      <c r="H209" s="27">
        <f t="shared" si="47"/>
        <v>-730</v>
      </c>
      <c r="I209" s="27">
        <f t="shared" si="48"/>
        <v>1270</v>
      </c>
      <c r="J209" s="27">
        <f t="shared" si="48"/>
        <v>0</v>
      </c>
      <c r="K209" s="27">
        <f t="shared" si="48"/>
        <v>1270</v>
      </c>
    </row>
    <row r="210" spans="1:11" ht="15" customHeight="1">
      <c r="A210" s="10" t="s">
        <v>22</v>
      </c>
      <c r="B210" s="11" t="s">
        <v>29</v>
      </c>
      <c r="C210" s="12">
        <v>25908157</v>
      </c>
      <c r="D210" s="12">
        <v>178203</v>
      </c>
      <c r="E210" s="5">
        <f t="shared" si="46"/>
        <v>26086360</v>
      </c>
      <c r="F210" s="12">
        <f>F213+F222+F226+F231+F237+F243+F245</f>
        <v>-56943</v>
      </c>
      <c r="G210" s="12">
        <f>G213+G222+G226+G231+G237+G243+G245</f>
        <v>0</v>
      </c>
      <c r="H210" s="5">
        <f t="shared" si="47"/>
        <v>-56943</v>
      </c>
      <c r="I210" s="5">
        <f>C210+F210</f>
        <v>25851214</v>
      </c>
      <c r="J210" s="5">
        <f>D210+G210</f>
        <v>178203</v>
      </c>
      <c r="K210" s="5">
        <f>E210+H210</f>
        <v>26029417</v>
      </c>
    </row>
    <row r="211" spans="1:11" ht="15" customHeight="1">
      <c r="A211" s="13"/>
      <c r="B211" s="14" t="s">
        <v>11</v>
      </c>
      <c r="C211" s="15"/>
      <c r="D211" s="15"/>
      <c r="E211" s="7"/>
      <c r="F211" s="15"/>
      <c r="G211" s="15"/>
      <c r="H211" s="7"/>
      <c r="I211" s="7"/>
      <c r="J211" s="36"/>
      <c r="K211" s="7"/>
    </row>
    <row r="212" spans="1:11" ht="15" customHeight="1">
      <c r="A212" s="13"/>
      <c r="B212" s="14" t="s">
        <v>12</v>
      </c>
      <c r="C212" s="15">
        <v>156000</v>
      </c>
      <c r="D212" s="15">
        <v>0</v>
      </c>
      <c r="E212" s="7">
        <f aca="true" t="shared" si="49" ref="E212:E226">SUM(C212:D212)</f>
        <v>156000</v>
      </c>
      <c r="F212" s="15">
        <f>F236</f>
        <v>-96000</v>
      </c>
      <c r="G212" s="15">
        <v>0</v>
      </c>
      <c r="H212" s="7">
        <f aca="true" t="shared" si="50" ref="H212:H226">F212+G212</f>
        <v>-96000</v>
      </c>
      <c r="I212" s="7">
        <f aca="true" t="shared" si="51" ref="I212:K226">C212+F212</f>
        <v>60000</v>
      </c>
      <c r="J212" s="7">
        <f t="shared" si="51"/>
        <v>0</v>
      </c>
      <c r="K212" s="7">
        <f t="shared" si="51"/>
        <v>60000</v>
      </c>
    </row>
    <row r="213" spans="1:11" s="38" customFormat="1" ht="15" customHeight="1">
      <c r="A213" s="37">
        <v>80102</v>
      </c>
      <c r="B213" s="38" t="s">
        <v>113</v>
      </c>
      <c r="C213" s="21">
        <v>1938800</v>
      </c>
      <c r="D213" s="21">
        <v>0</v>
      </c>
      <c r="E213" s="22">
        <f t="shared" si="49"/>
        <v>1938800</v>
      </c>
      <c r="F213" s="23">
        <f>SUM(F214:F221)</f>
        <v>-32010</v>
      </c>
      <c r="G213" s="23">
        <f>SUM(G215:G217)</f>
        <v>0</v>
      </c>
      <c r="H213" s="22">
        <f t="shared" si="50"/>
        <v>-32010</v>
      </c>
      <c r="I213" s="22">
        <f t="shared" si="51"/>
        <v>1906790</v>
      </c>
      <c r="J213" s="22">
        <f t="shared" si="51"/>
        <v>0</v>
      </c>
      <c r="K213" s="22">
        <f t="shared" si="51"/>
        <v>1906790</v>
      </c>
    </row>
    <row r="214" spans="1:11" s="42" customFormat="1" ht="15" customHeight="1">
      <c r="A214" s="41" t="s">
        <v>33</v>
      </c>
      <c r="B214" s="42" t="s">
        <v>37</v>
      </c>
      <c r="C214" s="26">
        <v>1284414</v>
      </c>
      <c r="D214" s="26">
        <v>0</v>
      </c>
      <c r="E214" s="27">
        <f t="shared" si="49"/>
        <v>1284414</v>
      </c>
      <c r="F214" s="28">
        <v>10503</v>
      </c>
      <c r="G214" s="28">
        <v>0</v>
      </c>
      <c r="H214" s="27">
        <f t="shared" si="50"/>
        <v>10503</v>
      </c>
      <c r="I214" s="27">
        <f t="shared" si="51"/>
        <v>1294917</v>
      </c>
      <c r="J214" s="27">
        <f t="shared" si="51"/>
        <v>0</v>
      </c>
      <c r="K214" s="27">
        <f t="shared" si="51"/>
        <v>1294917</v>
      </c>
    </row>
    <row r="215" spans="1:11" s="42" customFormat="1" ht="15" customHeight="1">
      <c r="A215" s="41" t="s">
        <v>34</v>
      </c>
      <c r="B215" s="42" t="s">
        <v>38</v>
      </c>
      <c r="C215" s="26">
        <v>278600</v>
      </c>
      <c r="D215" s="26">
        <v>0</v>
      </c>
      <c r="E215" s="27">
        <f t="shared" si="49"/>
        <v>278600</v>
      </c>
      <c r="F215" s="28">
        <v>-16800</v>
      </c>
      <c r="G215" s="28">
        <v>0</v>
      </c>
      <c r="H215" s="27">
        <f t="shared" si="50"/>
        <v>-16800</v>
      </c>
      <c r="I215" s="27">
        <f t="shared" si="51"/>
        <v>261800</v>
      </c>
      <c r="J215" s="27">
        <f t="shared" si="51"/>
        <v>0</v>
      </c>
      <c r="K215" s="27">
        <f t="shared" si="51"/>
        <v>261800</v>
      </c>
    </row>
    <row r="216" spans="1:11" s="42" customFormat="1" ht="15" customHeight="1">
      <c r="A216" s="41" t="s">
        <v>35</v>
      </c>
      <c r="B216" s="42" t="s">
        <v>39</v>
      </c>
      <c r="C216" s="26">
        <v>39100</v>
      </c>
      <c r="D216" s="26">
        <v>0</v>
      </c>
      <c r="E216" s="27">
        <f t="shared" si="49"/>
        <v>39100</v>
      </c>
      <c r="F216" s="28">
        <v>-3500</v>
      </c>
      <c r="G216" s="28">
        <v>0</v>
      </c>
      <c r="H216" s="27">
        <f t="shared" si="50"/>
        <v>-3500</v>
      </c>
      <c r="I216" s="27">
        <f t="shared" si="51"/>
        <v>35600</v>
      </c>
      <c r="J216" s="27">
        <f t="shared" si="51"/>
        <v>0</v>
      </c>
      <c r="K216" s="27">
        <f t="shared" si="51"/>
        <v>35600</v>
      </c>
    </row>
    <row r="217" spans="1:11" s="42" customFormat="1" ht="15" customHeight="1">
      <c r="A217" s="41" t="s">
        <v>36</v>
      </c>
      <c r="B217" s="42" t="s">
        <v>40</v>
      </c>
      <c r="C217" s="26">
        <v>5000</v>
      </c>
      <c r="D217" s="26">
        <v>0</v>
      </c>
      <c r="E217" s="27">
        <f t="shared" si="49"/>
        <v>5000</v>
      </c>
      <c r="F217" s="28">
        <v>-5000</v>
      </c>
      <c r="G217" s="28">
        <v>0</v>
      </c>
      <c r="H217" s="27">
        <f t="shared" si="50"/>
        <v>-5000</v>
      </c>
      <c r="I217" s="27">
        <f t="shared" si="51"/>
        <v>0</v>
      </c>
      <c r="J217" s="27">
        <f t="shared" si="51"/>
        <v>0</v>
      </c>
      <c r="K217" s="27">
        <f t="shared" si="51"/>
        <v>0</v>
      </c>
    </row>
    <row r="218" spans="1:11" s="44" customFormat="1" ht="15" customHeight="1">
      <c r="A218" s="24" t="s">
        <v>49</v>
      </c>
      <c r="B218" s="25" t="s">
        <v>87</v>
      </c>
      <c r="C218" s="26">
        <v>2000</v>
      </c>
      <c r="D218" s="26">
        <v>0</v>
      </c>
      <c r="E218" s="27">
        <f t="shared" si="49"/>
        <v>2000</v>
      </c>
      <c r="F218" s="28">
        <v>-2000</v>
      </c>
      <c r="G218" s="28">
        <v>0</v>
      </c>
      <c r="H218" s="27">
        <f t="shared" si="50"/>
        <v>-2000</v>
      </c>
      <c r="I218" s="27">
        <f t="shared" si="51"/>
        <v>0</v>
      </c>
      <c r="J218" s="27">
        <f t="shared" si="51"/>
        <v>0</v>
      </c>
      <c r="K218" s="27">
        <f t="shared" si="51"/>
        <v>0</v>
      </c>
    </row>
    <row r="219" spans="1:11" s="44" customFormat="1" ht="15" customHeight="1">
      <c r="A219" s="24" t="s">
        <v>53</v>
      </c>
      <c r="B219" s="25" t="s">
        <v>55</v>
      </c>
      <c r="C219" s="26">
        <v>100000</v>
      </c>
      <c r="D219" s="26">
        <v>0</v>
      </c>
      <c r="E219" s="27">
        <f t="shared" si="49"/>
        <v>100000</v>
      </c>
      <c r="F219" s="28">
        <v>-14000</v>
      </c>
      <c r="G219" s="28">
        <v>0</v>
      </c>
      <c r="H219" s="27">
        <f t="shared" si="50"/>
        <v>-14000</v>
      </c>
      <c r="I219" s="27">
        <f t="shared" si="51"/>
        <v>86000</v>
      </c>
      <c r="J219" s="27">
        <f t="shared" si="51"/>
        <v>0</v>
      </c>
      <c r="K219" s="27">
        <f t="shared" si="51"/>
        <v>86000</v>
      </c>
    </row>
    <row r="220" spans="1:11" s="44" customFormat="1" ht="15" customHeight="1">
      <c r="A220" s="24" t="s">
        <v>25</v>
      </c>
      <c r="B220" s="25" t="s">
        <v>26</v>
      </c>
      <c r="C220" s="26">
        <v>2500</v>
      </c>
      <c r="D220" s="26">
        <v>0</v>
      </c>
      <c r="E220" s="27">
        <f t="shared" si="49"/>
        <v>2500</v>
      </c>
      <c r="F220" s="28">
        <v>787</v>
      </c>
      <c r="G220" s="28">
        <v>0</v>
      </c>
      <c r="H220" s="27">
        <f t="shared" si="50"/>
        <v>787</v>
      </c>
      <c r="I220" s="27">
        <f t="shared" si="51"/>
        <v>3287</v>
      </c>
      <c r="J220" s="27">
        <f t="shared" si="51"/>
        <v>0</v>
      </c>
      <c r="K220" s="27">
        <f t="shared" si="51"/>
        <v>3287</v>
      </c>
    </row>
    <row r="221" spans="1:11" s="44" customFormat="1" ht="15" customHeight="1">
      <c r="A221" s="24" t="s">
        <v>20</v>
      </c>
      <c r="B221" s="25" t="s">
        <v>21</v>
      </c>
      <c r="C221" s="26">
        <v>15000</v>
      </c>
      <c r="D221" s="26">
        <v>0</v>
      </c>
      <c r="E221" s="27">
        <f t="shared" si="49"/>
        <v>15000</v>
      </c>
      <c r="F221" s="28">
        <v>-2000</v>
      </c>
      <c r="G221" s="28">
        <v>0</v>
      </c>
      <c r="H221" s="27">
        <f t="shared" si="50"/>
        <v>-2000</v>
      </c>
      <c r="I221" s="27">
        <f t="shared" si="51"/>
        <v>13000</v>
      </c>
      <c r="J221" s="27">
        <f t="shared" si="51"/>
        <v>0</v>
      </c>
      <c r="K221" s="27">
        <f t="shared" si="51"/>
        <v>13000</v>
      </c>
    </row>
    <row r="222" spans="1:11" s="38" customFormat="1" ht="15" customHeight="1">
      <c r="A222" s="37">
        <v>80111</v>
      </c>
      <c r="B222" s="38" t="s">
        <v>114</v>
      </c>
      <c r="C222" s="21">
        <v>780300</v>
      </c>
      <c r="D222" s="21">
        <v>0</v>
      </c>
      <c r="E222" s="22">
        <f t="shared" si="49"/>
        <v>780300</v>
      </c>
      <c r="F222" s="23">
        <f>SUM(F223:F225)</f>
        <v>78890</v>
      </c>
      <c r="G222" s="23">
        <f>SUM(G224:G225)</f>
        <v>0</v>
      </c>
      <c r="H222" s="22">
        <f t="shared" si="50"/>
        <v>78890</v>
      </c>
      <c r="I222" s="22">
        <f t="shared" si="51"/>
        <v>859190</v>
      </c>
      <c r="J222" s="22">
        <f t="shared" si="51"/>
        <v>0</v>
      </c>
      <c r="K222" s="22">
        <f t="shared" si="51"/>
        <v>859190</v>
      </c>
    </row>
    <row r="223" spans="1:11" s="42" customFormat="1" ht="15" customHeight="1">
      <c r="A223" s="41" t="s">
        <v>33</v>
      </c>
      <c r="B223" s="42" t="s">
        <v>37</v>
      </c>
      <c r="C223" s="26">
        <v>541827</v>
      </c>
      <c r="D223" s="26">
        <v>0</v>
      </c>
      <c r="E223" s="27">
        <f t="shared" si="49"/>
        <v>541827</v>
      </c>
      <c r="F223" s="28">
        <v>87335</v>
      </c>
      <c r="G223" s="28">
        <v>0</v>
      </c>
      <c r="H223" s="27">
        <f t="shared" si="50"/>
        <v>87335</v>
      </c>
      <c r="I223" s="27">
        <f t="shared" si="51"/>
        <v>629162</v>
      </c>
      <c r="J223" s="27">
        <f t="shared" si="51"/>
        <v>0</v>
      </c>
      <c r="K223" s="27">
        <f t="shared" si="51"/>
        <v>629162</v>
      </c>
    </row>
    <row r="224" spans="1:11" s="42" customFormat="1" ht="15" customHeight="1">
      <c r="A224" s="41" t="s">
        <v>34</v>
      </c>
      <c r="B224" s="42" t="s">
        <v>38</v>
      </c>
      <c r="C224" s="26">
        <v>129100</v>
      </c>
      <c r="D224" s="26">
        <v>0</v>
      </c>
      <c r="E224" s="27">
        <f t="shared" si="49"/>
        <v>129100</v>
      </c>
      <c r="F224" s="28">
        <v>-7367</v>
      </c>
      <c r="G224" s="28">
        <v>0</v>
      </c>
      <c r="H224" s="27">
        <f t="shared" si="50"/>
        <v>-7367</v>
      </c>
      <c r="I224" s="27">
        <f t="shared" si="51"/>
        <v>121733</v>
      </c>
      <c r="J224" s="27">
        <f t="shared" si="51"/>
        <v>0</v>
      </c>
      <c r="K224" s="27">
        <f t="shared" si="51"/>
        <v>121733</v>
      </c>
    </row>
    <row r="225" spans="1:11" s="42" customFormat="1" ht="15" customHeight="1">
      <c r="A225" s="41" t="s">
        <v>35</v>
      </c>
      <c r="B225" s="42" t="s">
        <v>39</v>
      </c>
      <c r="C225" s="26">
        <v>17700</v>
      </c>
      <c r="D225" s="26">
        <v>0</v>
      </c>
      <c r="E225" s="27">
        <f t="shared" si="49"/>
        <v>17700</v>
      </c>
      <c r="F225" s="28">
        <f>-1078</f>
        <v>-1078</v>
      </c>
      <c r="G225" s="28">
        <v>0</v>
      </c>
      <c r="H225" s="27">
        <f t="shared" si="50"/>
        <v>-1078</v>
      </c>
      <c r="I225" s="27">
        <f t="shared" si="51"/>
        <v>16622</v>
      </c>
      <c r="J225" s="27">
        <f t="shared" si="51"/>
        <v>0</v>
      </c>
      <c r="K225" s="27">
        <f t="shared" si="51"/>
        <v>16622</v>
      </c>
    </row>
    <row r="226" spans="1:11" s="38" customFormat="1" ht="15" customHeight="1">
      <c r="A226" s="37">
        <v>80120</v>
      </c>
      <c r="B226" s="38" t="s">
        <v>68</v>
      </c>
      <c r="C226" s="23">
        <v>9135347</v>
      </c>
      <c r="D226" s="23">
        <v>0</v>
      </c>
      <c r="E226" s="22">
        <f t="shared" si="49"/>
        <v>9135347</v>
      </c>
      <c r="F226" s="23">
        <f>SUM(F227:F230)</f>
        <v>110014</v>
      </c>
      <c r="G226" s="23">
        <f>SUM(G229:G229)</f>
        <v>0</v>
      </c>
      <c r="H226" s="22">
        <f t="shared" si="50"/>
        <v>110014</v>
      </c>
      <c r="I226" s="22">
        <f t="shared" si="51"/>
        <v>9245361</v>
      </c>
      <c r="J226" s="22">
        <f t="shared" si="51"/>
        <v>0</v>
      </c>
      <c r="K226" s="22">
        <f t="shared" si="51"/>
        <v>9245361</v>
      </c>
    </row>
    <row r="227" spans="1:11" s="42" customFormat="1" ht="15" customHeight="1">
      <c r="A227" s="41" t="s">
        <v>33</v>
      </c>
      <c r="B227" s="42" t="s">
        <v>37</v>
      </c>
      <c r="C227" s="28">
        <v>5984284</v>
      </c>
      <c r="D227" s="28">
        <v>0</v>
      </c>
      <c r="E227" s="27">
        <f aca="true" t="shared" si="52" ref="E227:E245">SUM(C227:D227)</f>
        <v>5984284</v>
      </c>
      <c r="F227" s="28">
        <f>8000-5000+40000+30000</f>
        <v>73000</v>
      </c>
      <c r="G227" s="28">
        <v>0</v>
      </c>
      <c r="H227" s="27">
        <f aca="true" t="shared" si="53" ref="H227:H245">F227+G227</f>
        <v>73000</v>
      </c>
      <c r="I227" s="27">
        <f aca="true" t="shared" si="54" ref="I227:K238">C227+F227</f>
        <v>6057284</v>
      </c>
      <c r="J227" s="27">
        <f t="shared" si="54"/>
        <v>0</v>
      </c>
      <c r="K227" s="27">
        <f t="shared" si="54"/>
        <v>6057284</v>
      </c>
    </row>
    <row r="228" spans="1:11" s="42" customFormat="1" ht="15" customHeight="1">
      <c r="A228" s="41" t="s">
        <v>34</v>
      </c>
      <c r="B228" s="42" t="s">
        <v>38</v>
      </c>
      <c r="C228" s="28">
        <v>1079431</v>
      </c>
      <c r="D228" s="28">
        <v>0</v>
      </c>
      <c r="E228" s="27">
        <f t="shared" si="52"/>
        <v>1079431</v>
      </c>
      <c r="F228" s="28">
        <f>-930+25000</f>
        <v>24070</v>
      </c>
      <c r="G228" s="28">
        <v>0</v>
      </c>
      <c r="H228" s="27">
        <f t="shared" si="53"/>
        <v>24070</v>
      </c>
      <c r="I228" s="27">
        <f t="shared" si="54"/>
        <v>1103501</v>
      </c>
      <c r="J228" s="27">
        <f t="shared" si="54"/>
        <v>0</v>
      </c>
      <c r="K228" s="27">
        <f t="shared" si="54"/>
        <v>1103501</v>
      </c>
    </row>
    <row r="229" spans="1:11" s="42" customFormat="1" ht="15" customHeight="1">
      <c r="A229" s="41" t="s">
        <v>35</v>
      </c>
      <c r="B229" s="42" t="s">
        <v>39</v>
      </c>
      <c r="C229" s="28">
        <v>147289</v>
      </c>
      <c r="D229" s="28">
        <v>0</v>
      </c>
      <c r="E229" s="27">
        <f t="shared" si="52"/>
        <v>147289</v>
      </c>
      <c r="F229" s="28">
        <f>-186+2000</f>
        <v>1814</v>
      </c>
      <c r="G229" s="28"/>
      <c r="H229" s="27">
        <f t="shared" si="53"/>
        <v>1814</v>
      </c>
      <c r="I229" s="27">
        <f t="shared" si="54"/>
        <v>149103</v>
      </c>
      <c r="J229" s="27">
        <f t="shared" si="54"/>
        <v>0</v>
      </c>
      <c r="K229" s="27">
        <f t="shared" si="54"/>
        <v>149103</v>
      </c>
    </row>
    <row r="230" spans="1:11" s="42" customFormat="1" ht="15" customHeight="1">
      <c r="A230" s="41" t="s">
        <v>25</v>
      </c>
      <c r="B230" s="42" t="s">
        <v>26</v>
      </c>
      <c r="C230" s="28">
        <v>130281</v>
      </c>
      <c r="D230" s="28">
        <v>0</v>
      </c>
      <c r="E230" s="27">
        <f t="shared" si="52"/>
        <v>130281</v>
      </c>
      <c r="F230" s="28">
        <f>2200+8930</f>
        <v>11130</v>
      </c>
      <c r="G230" s="28">
        <v>0</v>
      </c>
      <c r="H230" s="27">
        <f t="shared" si="53"/>
        <v>11130</v>
      </c>
      <c r="I230" s="27">
        <f t="shared" si="54"/>
        <v>141411</v>
      </c>
      <c r="J230" s="27">
        <f t="shared" si="54"/>
        <v>0</v>
      </c>
      <c r="K230" s="27">
        <f t="shared" si="54"/>
        <v>141411</v>
      </c>
    </row>
    <row r="231" spans="1:11" s="38" customFormat="1" ht="15" customHeight="1">
      <c r="A231" s="37">
        <v>80130</v>
      </c>
      <c r="B231" s="38" t="s">
        <v>46</v>
      </c>
      <c r="C231" s="23">
        <v>11551947</v>
      </c>
      <c r="D231" s="23">
        <v>16757</v>
      </c>
      <c r="E231" s="22">
        <f t="shared" si="52"/>
        <v>11568704</v>
      </c>
      <c r="F231" s="23">
        <f>SUM(F232:F236)</f>
        <v>-152103</v>
      </c>
      <c r="G231" s="23">
        <v>0</v>
      </c>
      <c r="H231" s="22">
        <f t="shared" si="53"/>
        <v>-152103</v>
      </c>
      <c r="I231" s="22">
        <f t="shared" si="54"/>
        <v>11399844</v>
      </c>
      <c r="J231" s="22">
        <f t="shared" si="54"/>
        <v>16757</v>
      </c>
      <c r="K231" s="22">
        <f t="shared" si="54"/>
        <v>11416601</v>
      </c>
    </row>
    <row r="232" spans="1:11" s="42" customFormat="1" ht="15" customHeight="1">
      <c r="A232" s="41" t="s">
        <v>33</v>
      </c>
      <c r="B232" s="42" t="s">
        <v>37</v>
      </c>
      <c r="C232" s="28">
        <v>6815185</v>
      </c>
      <c r="D232" s="28">
        <v>0</v>
      </c>
      <c r="E232" s="27">
        <f t="shared" si="52"/>
        <v>6815185</v>
      </c>
      <c r="F232" s="28">
        <f>24833-5000+44000</f>
        <v>63833</v>
      </c>
      <c r="G232" s="28">
        <v>0</v>
      </c>
      <c r="H232" s="27">
        <f t="shared" si="53"/>
        <v>63833</v>
      </c>
      <c r="I232" s="27">
        <f t="shared" si="54"/>
        <v>6879018</v>
      </c>
      <c r="J232" s="27">
        <f t="shared" si="54"/>
        <v>0</v>
      </c>
      <c r="K232" s="27">
        <f t="shared" si="54"/>
        <v>6879018</v>
      </c>
    </row>
    <row r="233" spans="1:11" s="42" customFormat="1" ht="15" customHeight="1">
      <c r="A233" s="41" t="s">
        <v>34</v>
      </c>
      <c r="B233" s="42" t="s">
        <v>38</v>
      </c>
      <c r="C233" s="28">
        <v>1278450</v>
      </c>
      <c r="D233" s="28">
        <v>0</v>
      </c>
      <c r="E233" s="27">
        <f t="shared" si="52"/>
        <v>1278450</v>
      </c>
      <c r="F233" s="28">
        <f>-942+7000</f>
        <v>6058</v>
      </c>
      <c r="G233" s="28">
        <v>0</v>
      </c>
      <c r="H233" s="27">
        <f t="shared" si="53"/>
        <v>6058</v>
      </c>
      <c r="I233" s="27">
        <f t="shared" si="54"/>
        <v>1284508</v>
      </c>
      <c r="J233" s="27">
        <f t="shared" si="54"/>
        <v>0</v>
      </c>
      <c r="K233" s="27">
        <f t="shared" si="54"/>
        <v>1284508</v>
      </c>
    </row>
    <row r="234" spans="1:11" s="42" customFormat="1" ht="15" customHeight="1">
      <c r="A234" s="41" t="s">
        <v>35</v>
      </c>
      <c r="B234" s="42" t="s">
        <v>39</v>
      </c>
      <c r="C234" s="28">
        <v>171247</v>
      </c>
      <c r="D234" s="28">
        <v>0</v>
      </c>
      <c r="E234" s="27">
        <f t="shared" si="52"/>
        <v>171247</v>
      </c>
      <c r="F234" s="28">
        <f>-141+3000</f>
        <v>2859</v>
      </c>
      <c r="G234" s="28"/>
      <c r="H234" s="27">
        <f t="shared" si="53"/>
        <v>2859</v>
      </c>
      <c r="I234" s="27">
        <f t="shared" si="54"/>
        <v>174106</v>
      </c>
      <c r="J234" s="27">
        <f t="shared" si="54"/>
        <v>0</v>
      </c>
      <c r="K234" s="27">
        <f t="shared" si="54"/>
        <v>174106</v>
      </c>
    </row>
    <row r="235" spans="1:11" s="42" customFormat="1" ht="15" customHeight="1">
      <c r="A235" s="41" t="s">
        <v>25</v>
      </c>
      <c r="B235" s="42" t="s">
        <v>26</v>
      </c>
      <c r="C235" s="28">
        <v>176313</v>
      </c>
      <c r="D235" s="28">
        <v>0</v>
      </c>
      <c r="E235" s="27">
        <f t="shared" si="52"/>
        <v>176313</v>
      </c>
      <c r="F235" s="28">
        <f>-41800-87053</f>
        <v>-128853</v>
      </c>
      <c r="G235" s="28">
        <v>0</v>
      </c>
      <c r="H235" s="27">
        <f t="shared" si="53"/>
        <v>-128853</v>
      </c>
      <c r="I235" s="27">
        <f t="shared" si="54"/>
        <v>47460</v>
      </c>
      <c r="J235" s="27">
        <f t="shared" si="54"/>
        <v>0</v>
      </c>
      <c r="K235" s="27">
        <f t="shared" si="54"/>
        <v>47460</v>
      </c>
    </row>
    <row r="236" spans="1:11" s="42" customFormat="1" ht="15" customHeight="1">
      <c r="A236" s="41" t="s">
        <v>52</v>
      </c>
      <c r="B236" s="42" t="s">
        <v>115</v>
      </c>
      <c r="C236" s="28">
        <v>156000</v>
      </c>
      <c r="D236" s="28">
        <v>0</v>
      </c>
      <c r="E236" s="27">
        <f t="shared" si="52"/>
        <v>156000</v>
      </c>
      <c r="F236" s="28">
        <f>-70000-31000+5000</f>
        <v>-96000</v>
      </c>
      <c r="G236" s="28">
        <v>0</v>
      </c>
      <c r="H236" s="27">
        <f t="shared" si="53"/>
        <v>-96000</v>
      </c>
      <c r="I236" s="27">
        <f t="shared" si="54"/>
        <v>60000</v>
      </c>
      <c r="J236" s="27">
        <f t="shared" si="54"/>
        <v>0</v>
      </c>
      <c r="K236" s="27">
        <f t="shared" si="54"/>
        <v>60000</v>
      </c>
    </row>
    <row r="237" spans="1:11" s="20" customFormat="1" ht="15" customHeight="1">
      <c r="A237" s="19">
        <v>80140</v>
      </c>
      <c r="B237" s="20" t="s">
        <v>116</v>
      </c>
      <c r="C237" s="21">
        <v>1534510</v>
      </c>
      <c r="D237" s="21">
        <v>0</v>
      </c>
      <c r="E237" s="22">
        <f t="shared" si="52"/>
        <v>1534510</v>
      </c>
      <c r="F237" s="23">
        <f>SUM(F238:F242)</f>
        <v>9986</v>
      </c>
      <c r="G237" s="23">
        <v>0</v>
      </c>
      <c r="H237" s="22">
        <f t="shared" si="53"/>
        <v>9986</v>
      </c>
      <c r="I237" s="22">
        <f t="shared" si="54"/>
        <v>1544496</v>
      </c>
      <c r="J237" s="22">
        <f t="shared" si="54"/>
        <v>0</v>
      </c>
      <c r="K237" s="22">
        <f t="shared" si="54"/>
        <v>1544496</v>
      </c>
    </row>
    <row r="238" spans="1:11" s="42" customFormat="1" ht="15" customHeight="1">
      <c r="A238" s="41" t="s">
        <v>56</v>
      </c>
      <c r="B238" s="42" t="s">
        <v>80</v>
      </c>
      <c r="C238" s="28">
        <v>4700</v>
      </c>
      <c r="D238" s="28">
        <v>0</v>
      </c>
      <c r="E238" s="27">
        <f t="shared" si="52"/>
        <v>4700</v>
      </c>
      <c r="F238" s="28">
        <f>-4000</f>
        <v>-4000</v>
      </c>
      <c r="G238" s="28">
        <v>0</v>
      </c>
      <c r="H238" s="27">
        <f t="shared" si="53"/>
        <v>-4000</v>
      </c>
      <c r="I238" s="27">
        <f t="shared" si="54"/>
        <v>700</v>
      </c>
      <c r="J238" s="27">
        <f t="shared" si="54"/>
        <v>0</v>
      </c>
      <c r="K238" s="27">
        <f t="shared" si="54"/>
        <v>700</v>
      </c>
    </row>
    <row r="239" spans="1:11" s="25" customFormat="1" ht="15" customHeight="1">
      <c r="A239" s="30" t="s">
        <v>33</v>
      </c>
      <c r="B239" s="25" t="s">
        <v>37</v>
      </c>
      <c r="C239" s="26">
        <v>915400</v>
      </c>
      <c r="D239" s="26">
        <v>0</v>
      </c>
      <c r="E239" s="27">
        <f t="shared" si="52"/>
        <v>915400</v>
      </c>
      <c r="F239" s="28">
        <f>-1000-13000</f>
        <v>-14000</v>
      </c>
      <c r="G239" s="28">
        <v>0</v>
      </c>
      <c r="H239" s="27">
        <f t="shared" si="53"/>
        <v>-14000</v>
      </c>
      <c r="I239" s="27">
        <f>C239+F239</f>
        <v>901400</v>
      </c>
      <c r="J239" s="27">
        <f>D239+G239</f>
        <v>0</v>
      </c>
      <c r="K239" s="27">
        <f>E239+H239</f>
        <v>901400</v>
      </c>
    </row>
    <row r="240" spans="1:11" s="25" customFormat="1" ht="15" customHeight="1">
      <c r="A240" s="30" t="s">
        <v>34</v>
      </c>
      <c r="B240" s="25" t="s">
        <v>117</v>
      </c>
      <c r="C240" s="26">
        <v>164100</v>
      </c>
      <c r="D240" s="26">
        <v>0</v>
      </c>
      <c r="E240" s="27">
        <f t="shared" si="52"/>
        <v>164100</v>
      </c>
      <c r="F240" s="28">
        <f>-206-4000</f>
        <v>-4206</v>
      </c>
      <c r="G240" s="28">
        <v>0</v>
      </c>
      <c r="H240" s="27">
        <f t="shared" si="53"/>
        <v>-4206</v>
      </c>
      <c r="I240" s="27">
        <f aca="true" t="shared" si="55" ref="I240:K247">C240+F240</f>
        <v>159894</v>
      </c>
      <c r="J240" s="27">
        <f t="shared" si="55"/>
        <v>0</v>
      </c>
      <c r="K240" s="27">
        <f t="shared" si="55"/>
        <v>159894</v>
      </c>
    </row>
    <row r="241" spans="1:11" s="25" customFormat="1" ht="15" customHeight="1">
      <c r="A241" s="30" t="s">
        <v>35</v>
      </c>
      <c r="B241" s="25" t="s">
        <v>39</v>
      </c>
      <c r="C241" s="26">
        <v>22500</v>
      </c>
      <c r="D241" s="26">
        <v>0</v>
      </c>
      <c r="E241" s="27">
        <f t="shared" si="52"/>
        <v>22500</v>
      </c>
      <c r="F241" s="28">
        <f>-78-600</f>
        <v>-678</v>
      </c>
      <c r="G241" s="28">
        <v>0</v>
      </c>
      <c r="H241" s="27">
        <f t="shared" si="53"/>
        <v>-678</v>
      </c>
      <c r="I241" s="27">
        <f t="shared" si="55"/>
        <v>21822</v>
      </c>
      <c r="J241" s="27">
        <f t="shared" si="55"/>
        <v>0</v>
      </c>
      <c r="K241" s="27">
        <f t="shared" si="55"/>
        <v>21822</v>
      </c>
    </row>
    <row r="242" spans="1:11" s="25" customFormat="1" ht="15" customHeight="1">
      <c r="A242" s="30" t="s">
        <v>25</v>
      </c>
      <c r="B242" s="25" t="s">
        <v>26</v>
      </c>
      <c r="C242" s="26">
        <v>27218</v>
      </c>
      <c r="D242" s="26">
        <v>0</v>
      </c>
      <c r="E242" s="27">
        <f>SUM(C242:D242)</f>
        <v>27218</v>
      </c>
      <c r="F242" s="28">
        <v>32870</v>
      </c>
      <c r="G242" s="28">
        <v>0</v>
      </c>
      <c r="H242" s="27">
        <f>F242+G242</f>
        <v>32870</v>
      </c>
      <c r="I242" s="27">
        <f>C242+F242</f>
        <v>60088</v>
      </c>
      <c r="J242" s="27">
        <f>D242+G242</f>
        <v>0</v>
      </c>
      <c r="K242" s="27">
        <f>E242+H242</f>
        <v>60088</v>
      </c>
    </row>
    <row r="243" spans="1:11" s="20" customFormat="1" ht="15" customHeight="1">
      <c r="A243" s="19">
        <v>80146</v>
      </c>
      <c r="B243" s="20" t="s">
        <v>41</v>
      </c>
      <c r="C243" s="21">
        <v>177728</v>
      </c>
      <c r="D243" s="21">
        <v>0</v>
      </c>
      <c r="E243" s="22">
        <f t="shared" si="52"/>
        <v>177728</v>
      </c>
      <c r="F243" s="23">
        <f>SUM(F244:F244)</f>
        <v>-5000</v>
      </c>
      <c r="G243" s="23">
        <v>0</v>
      </c>
      <c r="H243" s="22">
        <f t="shared" si="53"/>
        <v>-5000</v>
      </c>
      <c r="I243" s="22">
        <f t="shared" si="55"/>
        <v>172728</v>
      </c>
      <c r="J243" s="22">
        <f t="shared" si="55"/>
        <v>0</v>
      </c>
      <c r="K243" s="22">
        <f t="shared" si="55"/>
        <v>172728</v>
      </c>
    </row>
    <row r="244" spans="1:11" s="29" customFormat="1" ht="15" customHeight="1">
      <c r="A244" s="43" t="s">
        <v>20</v>
      </c>
      <c r="B244" s="29" t="s">
        <v>21</v>
      </c>
      <c r="C244" s="32">
        <v>80330</v>
      </c>
      <c r="D244" s="32">
        <v>0</v>
      </c>
      <c r="E244" s="33">
        <f t="shared" si="52"/>
        <v>80330</v>
      </c>
      <c r="F244" s="34">
        <f>-5000</f>
        <v>-5000</v>
      </c>
      <c r="G244" s="34">
        <v>0</v>
      </c>
      <c r="H244" s="33">
        <f t="shared" si="53"/>
        <v>-5000</v>
      </c>
      <c r="I244" s="33">
        <f t="shared" si="55"/>
        <v>75330</v>
      </c>
      <c r="J244" s="33">
        <f t="shared" si="55"/>
        <v>0</v>
      </c>
      <c r="K244" s="33">
        <f t="shared" si="55"/>
        <v>75330</v>
      </c>
    </row>
    <row r="245" spans="1:11" ht="15" customHeight="1">
      <c r="A245" s="24">
        <v>80195</v>
      </c>
      <c r="B245" s="25" t="s">
        <v>19</v>
      </c>
      <c r="C245" s="26">
        <v>126890</v>
      </c>
      <c r="D245" s="26">
        <v>161446</v>
      </c>
      <c r="E245" s="27">
        <f t="shared" si="52"/>
        <v>288336</v>
      </c>
      <c r="F245" s="26">
        <f>SUM(F246:F247)</f>
        <v>-66720</v>
      </c>
      <c r="G245" s="26">
        <f>SUM(G246:G247)</f>
        <v>0</v>
      </c>
      <c r="H245" s="27">
        <f t="shared" si="53"/>
        <v>-66720</v>
      </c>
      <c r="I245" s="27">
        <f t="shared" si="55"/>
        <v>60170</v>
      </c>
      <c r="J245" s="27">
        <f t="shared" si="55"/>
        <v>161446</v>
      </c>
      <c r="K245" s="27">
        <f t="shared" si="55"/>
        <v>221616</v>
      </c>
    </row>
    <row r="246" spans="1:11" ht="15" customHeight="1">
      <c r="A246" s="24" t="s">
        <v>25</v>
      </c>
      <c r="B246" s="25" t="s">
        <v>26</v>
      </c>
      <c r="C246" s="26">
        <v>21120</v>
      </c>
      <c r="D246" s="26">
        <v>0</v>
      </c>
      <c r="E246" s="27">
        <f>SUM(C246:D246)</f>
        <v>21120</v>
      </c>
      <c r="F246" s="28">
        <f>-18920</f>
        <v>-18920</v>
      </c>
      <c r="G246" s="28">
        <v>0</v>
      </c>
      <c r="H246" s="27">
        <f>F246+G246</f>
        <v>-18920</v>
      </c>
      <c r="I246" s="27">
        <f t="shared" si="55"/>
        <v>2200</v>
      </c>
      <c r="J246" s="27">
        <f t="shared" si="55"/>
        <v>0</v>
      </c>
      <c r="K246" s="27">
        <f t="shared" si="55"/>
        <v>2200</v>
      </c>
    </row>
    <row r="247" spans="1:11" ht="15" customHeight="1">
      <c r="A247" s="24" t="s">
        <v>20</v>
      </c>
      <c r="B247" s="25" t="s">
        <v>21</v>
      </c>
      <c r="C247" s="26">
        <v>100431</v>
      </c>
      <c r="D247" s="26">
        <v>2200</v>
      </c>
      <c r="E247" s="27">
        <f>SUM(C247:D247)</f>
        <v>102631</v>
      </c>
      <c r="F247" s="26">
        <f>-47800</f>
        <v>-47800</v>
      </c>
      <c r="G247" s="26">
        <v>0</v>
      </c>
      <c r="H247" s="27">
        <f>F247+G247</f>
        <v>-47800</v>
      </c>
      <c r="I247" s="27">
        <f t="shared" si="55"/>
        <v>52631</v>
      </c>
      <c r="J247" s="27">
        <f t="shared" si="55"/>
        <v>2200</v>
      </c>
      <c r="K247" s="27">
        <f t="shared" si="55"/>
        <v>54831</v>
      </c>
    </row>
    <row r="248" spans="1:11" ht="15" customHeight="1">
      <c r="A248" s="10" t="s">
        <v>44</v>
      </c>
      <c r="B248" s="11" t="s">
        <v>45</v>
      </c>
      <c r="C248" s="12">
        <v>1181000</v>
      </c>
      <c r="D248" s="12">
        <v>5864876</v>
      </c>
      <c r="E248" s="5">
        <f>SUM(C248:D248)</f>
        <v>7045876</v>
      </c>
      <c r="F248" s="12">
        <f>F251+F262+F275</f>
        <v>33000</v>
      </c>
      <c r="G248" s="12">
        <f>G251+G262+G273+G275</f>
        <v>-1350</v>
      </c>
      <c r="H248" s="5">
        <f>F248+G248</f>
        <v>31650</v>
      </c>
      <c r="I248" s="5">
        <f>C248+F248</f>
        <v>1214000</v>
      </c>
      <c r="J248" s="5">
        <f>D248+G248</f>
        <v>5863526</v>
      </c>
      <c r="K248" s="5">
        <f>E248+H248</f>
        <v>7077526</v>
      </c>
    </row>
    <row r="249" spans="1:11" ht="15" customHeight="1">
      <c r="A249" s="13"/>
      <c r="B249" s="14" t="s">
        <v>11</v>
      </c>
      <c r="C249" s="15"/>
      <c r="D249" s="15"/>
      <c r="E249" s="7"/>
      <c r="F249" s="15"/>
      <c r="G249" s="15"/>
      <c r="H249" s="7"/>
      <c r="I249" s="7"/>
      <c r="J249" s="7"/>
      <c r="K249" s="7"/>
    </row>
    <row r="250" spans="1:11" ht="15" customHeight="1">
      <c r="A250" s="13"/>
      <c r="B250" s="14" t="s">
        <v>12</v>
      </c>
      <c r="C250" s="15">
        <v>0</v>
      </c>
      <c r="D250" s="15">
        <v>0</v>
      </c>
      <c r="E250" s="7">
        <f>SUM(C250:D250)</f>
        <v>0</v>
      </c>
      <c r="F250" s="15">
        <v>0</v>
      </c>
      <c r="G250" s="15">
        <v>0</v>
      </c>
      <c r="H250" s="7">
        <f>F250+G250</f>
        <v>0</v>
      </c>
      <c r="I250" s="7">
        <f>C250+F250</f>
        <v>0</v>
      </c>
      <c r="J250" s="7">
        <f>D250+G250</f>
        <v>0</v>
      </c>
      <c r="K250" s="7">
        <f>E250+H250</f>
        <v>0</v>
      </c>
    </row>
    <row r="251" spans="1:11" s="38" customFormat="1" ht="15" customHeight="1">
      <c r="A251" s="37">
        <v>85301</v>
      </c>
      <c r="B251" s="38" t="s">
        <v>126</v>
      </c>
      <c r="C251" s="21">
        <v>400300</v>
      </c>
      <c r="D251" s="21">
        <v>2217084</v>
      </c>
      <c r="E251" s="22">
        <f aca="true" t="shared" si="56" ref="E251:E260">SUM(C251:D251)</f>
        <v>2617384</v>
      </c>
      <c r="F251" s="23">
        <f>SUM(F253:F260)</f>
        <v>-17000</v>
      </c>
      <c r="G251" s="23">
        <f>SUM(G252:G261)</f>
        <v>0</v>
      </c>
      <c r="H251" s="22">
        <f aca="true" t="shared" si="57" ref="H251:H260">F251+G251</f>
        <v>-17000</v>
      </c>
      <c r="I251" s="22">
        <f aca="true" t="shared" si="58" ref="I251:I260">C251+F251</f>
        <v>383300</v>
      </c>
      <c r="J251" s="22">
        <f aca="true" t="shared" si="59" ref="J251:J260">D251+G251</f>
        <v>2217084</v>
      </c>
      <c r="K251" s="22">
        <f aca="true" t="shared" si="60" ref="K251:K260">E251+H251</f>
        <v>2600384</v>
      </c>
    </row>
    <row r="252" spans="1:11" s="42" customFormat="1" ht="15" customHeight="1">
      <c r="A252" s="41" t="s">
        <v>56</v>
      </c>
      <c r="B252" s="42" t="s">
        <v>80</v>
      </c>
      <c r="C252" s="26">
        <v>0</v>
      </c>
      <c r="D252" s="26">
        <v>17900</v>
      </c>
      <c r="E252" s="27">
        <f t="shared" si="56"/>
        <v>17900</v>
      </c>
      <c r="F252" s="28">
        <v>0</v>
      </c>
      <c r="G252" s="28">
        <v>-2083</v>
      </c>
      <c r="H252" s="27">
        <f t="shared" si="57"/>
        <v>-2083</v>
      </c>
      <c r="I252" s="27">
        <f t="shared" si="58"/>
        <v>0</v>
      </c>
      <c r="J252" s="27">
        <f t="shared" si="59"/>
        <v>15817</v>
      </c>
      <c r="K252" s="27">
        <f t="shared" si="60"/>
        <v>15817</v>
      </c>
    </row>
    <row r="253" spans="1:11" s="42" customFormat="1" ht="15" customHeight="1">
      <c r="A253" s="41" t="s">
        <v>33</v>
      </c>
      <c r="B253" s="42" t="s">
        <v>37</v>
      </c>
      <c r="C253" s="26">
        <v>200272</v>
      </c>
      <c r="D253" s="26">
        <v>1316663</v>
      </c>
      <c r="E253" s="27">
        <f>SUM(C253:D253)</f>
        <v>1516935</v>
      </c>
      <c r="F253" s="28">
        <f>745</f>
        <v>745</v>
      </c>
      <c r="G253" s="28">
        <f>1439-10728</f>
        <v>-9289</v>
      </c>
      <c r="H253" s="27">
        <f>F253+G253</f>
        <v>-8544</v>
      </c>
      <c r="I253" s="27">
        <f>C253+F253</f>
        <v>201017</v>
      </c>
      <c r="J253" s="27">
        <f>D253+G253</f>
        <v>1307374</v>
      </c>
      <c r="K253" s="27">
        <f>E253+H253</f>
        <v>1508391</v>
      </c>
    </row>
    <row r="254" spans="1:11" s="42" customFormat="1" ht="15" customHeight="1">
      <c r="A254" s="41" t="s">
        <v>34</v>
      </c>
      <c r="B254" s="42" t="s">
        <v>38</v>
      </c>
      <c r="C254" s="26">
        <v>16728</v>
      </c>
      <c r="D254" s="26">
        <v>254610</v>
      </c>
      <c r="E254" s="27">
        <f t="shared" si="56"/>
        <v>271338</v>
      </c>
      <c r="F254" s="28">
        <f>-145</f>
        <v>-145</v>
      </c>
      <c r="G254" s="28">
        <v>0</v>
      </c>
      <c r="H254" s="27">
        <f t="shared" si="57"/>
        <v>-145</v>
      </c>
      <c r="I254" s="27">
        <f t="shared" si="58"/>
        <v>16583</v>
      </c>
      <c r="J254" s="27">
        <f t="shared" si="59"/>
        <v>254610</v>
      </c>
      <c r="K254" s="27">
        <f t="shared" si="60"/>
        <v>271193</v>
      </c>
    </row>
    <row r="255" spans="1:11" s="42" customFormat="1" ht="15" customHeight="1">
      <c r="A255" s="41" t="s">
        <v>35</v>
      </c>
      <c r="B255" s="42" t="s">
        <v>40</v>
      </c>
      <c r="C255" s="26">
        <v>2400</v>
      </c>
      <c r="D255" s="26">
        <v>36020</v>
      </c>
      <c r="E255" s="27">
        <f t="shared" si="56"/>
        <v>38420</v>
      </c>
      <c r="F255" s="28">
        <v>-600</v>
      </c>
      <c r="G255" s="28">
        <f>-520+587</f>
        <v>67</v>
      </c>
      <c r="H255" s="27">
        <f t="shared" si="57"/>
        <v>-533</v>
      </c>
      <c r="I255" s="27">
        <f t="shared" si="58"/>
        <v>1800</v>
      </c>
      <c r="J255" s="27">
        <f t="shared" si="59"/>
        <v>36087</v>
      </c>
      <c r="K255" s="27">
        <f t="shared" si="60"/>
        <v>37887</v>
      </c>
    </row>
    <row r="256" spans="1:11" s="42" customFormat="1" ht="15" customHeight="1">
      <c r="A256" s="41" t="s">
        <v>36</v>
      </c>
      <c r="B256" s="42" t="s">
        <v>40</v>
      </c>
      <c r="C256" s="26">
        <v>1000</v>
      </c>
      <c r="D256" s="26">
        <v>76574</v>
      </c>
      <c r="E256" s="27">
        <f>SUM(C256:D256)</f>
        <v>77574</v>
      </c>
      <c r="F256" s="28">
        <v>0</v>
      </c>
      <c r="G256" s="28">
        <f>-31+3226</f>
        <v>3195</v>
      </c>
      <c r="H256" s="27">
        <f>F256+G256</f>
        <v>3195</v>
      </c>
      <c r="I256" s="27">
        <f>C256+F256</f>
        <v>1000</v>
      </c>
      <c r="J256" s="27">
        <f>D256+G256</f>
        <v>79769</v>
      </c>
      <c r="K256" s="27">
        <f>E256+H256</f>
        <v>80769</v>
      </c>
    </row>
    <row r="257" spans="1:11" s="42" customFormat="1" ht="15" customHeight="1">
      <c r="A257" s="41" t="s">
        <v>42</v>
      </c>
      <c r="B257" s="42" t="s">
        <v>43</v>
      </c>
      <c r="C257" s="26">
        <v>2000</v>
      </c>
      <c r="D257" s="26">
        <v>85390</v>
      </c>
      <c r="E257" s="27">
        <f t="shared" si="56"/>
        <v>87390</v>
      </c>
      <c r="F257" s="28">
        <v>0</v>
      </c>
      <c r="G257" s="28">
        <v>4000</v>
      </c>
      <c r="H257" s="27">
        <f t="shared" si="57"/>
        <v>4000</v>
      </c>
      <c r="I257" s="27">
        <f t="shared" si="58"/>
        <v>2000</v>
      </c>
      <c r="J257" s="27">
        <f t="shared" si="59"/>
        <v>89390</v>
      </c>
      <c r="K257" s="27">
        <f t="shared" si="60"/>
        <v>91390</v>
      </c>
    </row>
    <row r="258" spans="1:11" s="42" customFormat="1" ht="15" customHeight="1">
      <c r="A258" s="41" t="s">
        <v>54</v>
      </c>
      <c r="B258" s="42" t="s">
        <v>121</v>
      </c>
      <c r="C258" s="26">
        <v>900</v>
      </c>
      <c r="D258" s="26">
        <v>7000</v>
      </c>
      <c r="E258" s="27">
        <f>SUM(C258:D258)</f>
        <v>7900</v>
      </c>
      <c r="F258" s="28">
        <v>0</v>
      </c>
      <c r="G258" s="28">
        <f>1500</f>
        <v>1500</v>
      </c>
      <c r="H258" s="27">
        <f>F258+G258</f>
        <v>1500</v>
      </c>
      <c r="I258" s="27">
        <f>C258+F258</f>
        <v>900</v>
      </c>
      <c r="J258" s="27">
        <f>D258+G258</f>
        <v>8500</v>
      </c>
      <c r="K258" s="27">
        <f>E258+H258</f>
        <v>9400</v>
      </c>
    </row>
    <row r="259" spans="1:11" s="42" customFormat="1" ht="15" customHeight="1">
      <c r="A259" s="41" t="s">
        <v>53</v>
      </c>
      <c r="B259" s="42" t="s">
        <v>55</v>
      </c>
      <c r="C259" s="26">
        <v>5000</v>
      </c>
      <c r="D259" s="26">
        <v>36412</v>
      </c>
      <c r="E259" s="27">
        <f t="shared" si="56"/>
        <v>41412</v>
      </c>
      <c r="F259" s="28">
        <v>0</v>
      </c>
      <c r="G259" s="28">
        <f>-590+2500</f>
        <v>1910</v>
      </c>
      <c r="H259" s="27">
        <f t="shared" si="57"/>
        <v>1910</v>
      </c>
      <c r="I259" s="27">
        <f t="shared" si="58"/>
        <v>5000</v>
      </c>
      <c r="J259" s="27">
        <f t="shared" si="59"/>
        <v>38322</v>
      </c>
      <c r="K259" s="27">
        <f t="shared" si="60"/>
        <v>43322</v>
      </c>
    </row>
    <row r="260" spans="1:11" s="42" customFormat="1" ht="15" customHeight="1">
      <c r="A260" s="41" t="s">
        <v>20</v>
      </c>
      <c r="B260" s="42" t="s">
        <v>21</v>
      </c>
      <c r="C260" s="26">
        <v>17000</v>
      </c>
      <c r="D260" s="26">
        <v>21580</v>
      </c>
      <c r="E260" s="27">
        <f t="shared" si="56"/>
        <v>38580</v>
      </c>
      <c r="F260" s="28">
        <v>-17000</v>
      </c>
      <c r="G260" s="28">
        <f>-298+1598</f>
        <v>1300</v>
      </c>
      <c r="H260" s="27">
        <f t="shared" si="57"/>
        <v>-15700</v>
      </c>
      <c r="I260" s="27">
        <f t="shared" si="58"/>
        <v>0</v>
      </c>
      <c r="J260" s="27">
        <f t="shared" si="59"/>
        <v>22880</v>
      </c>
      <c r="K260" s="27">
        <f t="shared" si="60"/>
        <v>22880</v>
      </c>
    </row>
    <row r="261" spans="1:11" s="42" customFormat="1" ht="15" customHeight="1">
      <c r="A261" s="41" t="s">
        <v>57</v>
      </c>
      <c r="B261" s="42" t="s">
        <v>59</v>
      </c>
      <c r="C261" s="26">
        <v>0</v>
      </c>
      <c r="D261" s="26">
        <v>1012</v>
      </c>
      <c r="E261" s="27">
        <f>SUM(C261:D261)</f>
        <v>1012</v>
      </c>
      <c r="F261" s="28">
        <v>0</v>
      </c>
      <c r="G261" s="28">
        <v>-600</v>
      </c>
      <c r="H261" s="27">
        <f>F261+G261</f>
        <v>-600</v>
      </c>
      <c r="I261" s="27">
        <f>C261+F261</f>
        <v>0</v>
      </c>
      <c r="J261" s="27">
        <f>D261+G261</f>
        <v>412</v>
      </c>
      <c r="K261" s="27">
        <f>E261+H261</f>
        <v>412</v>
      </c>
    </row>
    <row r="262" spans="1:11" s="38" customFormat="1" ht="15" customHeight="1">
      <c r="A262" s="37">
        <v>85302</v>
      </c>
      <c r="B262" s="38" t="s">
        <v>118</v>
      </c>
      <c r="C262" s="21">
        <v>640000</v>
      </c>
      <c r="D262" s="21">
        <v>1725284</v>
      </c>
      <c r="E262" s="22">
        <f aca="true" t="shared" si="61" ref="E262:E284">SUM(C262:D262)</f>
        <v>2365284</v>
      </c>
      <c r="F262" s="23">
        <f>SUM(F263:F272)</f>
        <v>50000</v>
      </c>
      <c r="G262" s="23">
        <f>SUM(G263:G272)</f>
        <v>0</v>
      </c>
      <c r="H262" s="22">
        <f aca="true" t="shared" si="62" ref="H262:H284">F262+G262</f>
        <v>50000</v>
      </c>
      <c r="I262" s="22">
        <f aca="true" t="shared" si="63" ref="I262:I284">C262+F262</f>
        <v>690000</v>
      </c>
      <c r="J262" s="22">
        <f aca="true" t="shared" si="64" ref="J262:J284">D262+G262</f>
        <v>1725284</v>
      </c>
      <c r="K262" s="22">
        <f aca="true" t="shared" si="65" ref="K262:K284">E262+H262</f>
        <v>2415284</v>
      </c>
    </row>
    <row r="263" spans="1:11" s="42" customFormat="1" ht="15" customHeight="1">
      <c r="A263" s="41" t="s">
        <v>33</v>
      </c>
      <c r="B263" s="42" t="s">
        <v>37</v>
      </c>
      <c r="C263" s="26">
        <v>470000</v>
      </c>
      <c r="D263" s="26">
        <v>908500</v>
      </c>
      <c r="E263" s="27">
        <f t="shared" si="61"/>
        <v>1378500</v>
      </c>
      <c r="F263" s="28">
        <v>-63000</v>
      </c>
      <c r="G263" s="28">
        <v>0</v>
      </c>
      <c r="H263" s="27">
        <f t="shared" si="62"/>
        <v>-63000</v>
      </c>
      <c r="I263" s="27">
        <f t="shared" si="63"/>
        <v>407000</v>
      </c>
      <c r="J263" s="27">
        <f t="shared" si="64"/>
        <v>908500</v>
      </c>
      <c r="K263" s="27">
        <f t="shared" si="65"/>
        <v>1315500</v>
      </c>
    </row>
    <row r="264" spans="1:11" s="42" customFormat="1" ht="15" customHeight="1">
      <c r="A264" s="41" t="s">
        <v>34</v>
      </c>
      <c r="B264" s="42" t="s">
        <v>38</v>
      </c>
      <c r="C264" s="26">
        <v>48000</v>
      </c>
      <c r="D264" s="26">
        <v>192000</v>
      </c>
      <c r="E264" s="27">
        <f t="shared" si="61"/>
        <v>240000</v>
      </c>
      <c r="F264" s="28">
        <f>10000-13000</f>
        <v>-3000</v>
      </c>
      <c r="G264" s="28">
        <v>0</v>
      </c>
      <c r="H264" s="27">
        <f t="shared" si="62"/>
        <v>-3000</v>
      </c>
      <c r="I264" s="27">
        <f t="shared" si="63"/>
        <v>45000</v>
      </c>
      <c r="J264" s="27">
        <f t="shared" si="64"/>
        <v>192000</v>
      </c>
      <c r="K264" s="27">
        <f t="shared" si="65"/>
        <v>237000</v>
      </c>
    </row>
    <row r="265" spans="1:11" s="42" customFormat="1" ht="15" customHeight="1">
      <c r="A265" s="41" t="s">
        <v>35</v>
      </c>
      <c r="B265" s="42" t="s">
        <v>139</v>
      </c>
      <c r="C265" s="26">
        <v>4000</v>
      </c>
      <c r="D265" s="26">
        <v>29000</v>
      </c>
      <c r="E265" s="27">
        <f t="shared" si="61"/>
        <v>33000</v>
      </c>
      <c r="F265" s="28">
        <v>-400</v>
      </c>
      <c r="G265" s="28">
        <v>0</v>
      </c>
      <c r="H265" s="27">
        <f t="shared" si="62"/>
        <v>-400</v>
      </c>
      <c r="I265" s="27">
        <f t="shared" si="63"/>
        <v>3600</v>
      </c>
      <c r="J265" s="27">
        <f t="shared" si="64"/>
        <v>29000</v>
      </c>
      <c r="K265" s="27">
        <f t="shared" si="65"/>
        <v>32600</v>
      </c>
    </row>
    <row r="266" spans="1:11" s="42" customFormat="1" ht="15" customHeight="1">
      <c r="A266" s="41" t="s">
        <v>36</v>
      </c>
      <c r="B266" s="42" t="s">
        <v>40</v>
      </c>
      <c r="C266" s="26">
        <v>5000</v>
      </c>
      <c r="D266" s="26">
        <v>34500</v>
      </c>
      <c r="E266" s="27">
        <f t="shared" si="61"/>
        <v>39500</v>
      </c>
      <c r="F266" s="28">
        <f>5000+40539</f>
        <v>45539</v>
      </c>
      <c r="G266" s="28">
        <v>0</v>
      </c>
      <c r="H266" s="27">
        <f t="shared" si="62"/>
        <v>45539</v>
      </c>
      <c r="I266" s="27">
        <f t="shared" si="63"/>
        <v>50539</v>
      </c>
      <c r="J266" s="27">
        <f t="shared" si="64"/>
        <v>34500</v>
      </c>
      <c r="K266" s="27">
        <f t="shared" si="65"/>
        <v>85039</v>
      </c>
    </row>
    <row r="267" spans="1:11" s="42" customFormat="1" ht="15" customHeight="1">
      <c r="A267" s="41" t="s">
        <v>42</v>
      </c>
      <c r="B267" s="42" t="s">
        <v>43</v>
      </c>
      <c r="C267" s="26">
        <v>37700</v>
      </c>
      <c r="D267" s="26">
        <v>163973</v>
      </c>
      <c r="E267" s="27">
        <f t="shared" si="61"/>
        <v>201673</v>
      </c>
      <c r="F267" s="28">
        <f>20000+21000</f>
        <v>41000</v>
      </c>
      <c r="G267" s="28">
        <v>0</v>
      </c>
      <c r="H267" s="27">
        <f t="shared" si="62"/>
        <v>41000</v>
      </c>
      <c r="I267" s="27">
        <f t="shared" si="63"/>
        <v>78700</v>
      </c>
      <c r="J267" s="27">
        <f t="shared" si="64"/>
        <v>163973</v>
      </c>
      <c r="K267" s="27">
        <f t="shared" si="65"/>
        <v>242673</v>
      </c>
    </row>
    <row r="268" spans="1:11" s="42" customFormat="1" ht="15" customHeight="1">
      <c r="A268" s="41" t="s">
        <v>54</v>
      </c>
      <c r="B268" s="42" t="s">
        <v>140</v>
      </c>
      <c r="C268" s="26">
        <v>500</v>
      </c>
      <c r="D268" s="26">
        <v>2500</v>
      </c>
      <c r="E268" s="27">
        <f t="shared" si="61"/>
        <v>3000</v>
      </c>
      <c r="F268" s="28">
        <v>1000</v>
      </c>
      <c r="G268" s="28">
        <v>0</v>
      </c>
      <c r="H268" s="27">
        <f t="shared" si="62"/>
        <v>1000</v>
      </c>
      <c r="I268" s="27">
        <f t="shared" si="63"/>
        <v>1500</v>
      </c>
      <c r="J268" s="27">
        <f t="shared" si="64"/>
        <v>2500</v>
      </c>
      <c r="K268" s="27">
        <f t="shared" si="65"/>
        <v>4000</v>
      </c>
    </row>
    <row r="269" spans="1:11" s="42" customFormat="1" ht="15" customHeight="1">
      <c r="A269" s="41" t="s">
        <v>53</v>
      </c>
      <c r="B269" s="42" t="s">
        <v>55</v>
      </c>
      <c r="C269" s="26">
        <v>40500</v>
      </c>
      <c r="D269" s="26">
        <v>164244</v>
      </c>
      <c r="E269" s="27">
        <f t="shared" si="61"/>
        <v>204744</v>
      </c>
      <c r="F269" s="28">
        <f>8000+13861</f>
        <v>21861</v>
      </c>
      <c r="G269" s="28">
        <v>139</v>
      </c>
      <c r="H269" s="27">
        <f t="shared" si="62"/>
        <v>22000</v>
      </c>
      <c r="I269" s="27">
        <f t="shared" si="63"/>
        <v>62361</v>
      </c>
      <c r="J269" s="27">
        <f t="shared" si="64"/>
        <v>164383</v>
      </c>
      <c r="K269" s="27">
        <f t="shared" si="65"/>
        <v>226744</v>
      </c>
    </row>
    <row r="270" spans="1:11" s="42" customFormat="1" ht="15" customHeight="1">
      <c r="A270" s="41" t="s">
        <v>25</v>
      </c>
      <c r="B270" s="42" t="s">
        <v>26</v>
      </c>
      <c r="C270" s="26">
        <v>3000</v>
      </c>
      <c r="D270" s="26">
        <v>9000</v>
      </c>
      <c r="E270" s="27">
        <f t="shared" si="61"/>
        <v>12000</v>
      </c>
      <c r="F270" s="28">
        <v>6000</v>
      </c>
      <c r="G270" s="28">
        <v>0</v>
      </c>
      <c r="H270" s="27">
        <f t="shared" si="62"/>
        <v>6000</v>
      </c>
      <c r="I270" s="27">
        <f t="shared" si="63"/>
        <v>9000</v>
      </c>
      <c r="J270" s="27">
        <f t="shared" si="64"/>
        <v>9000</v>
      </c>
      <c r="K270" s="27">
        <f t="shared" si="65"/>
        <v>18000</v>
      </c>
    </row>
    <row r="271" spans="1:11" s="42" customFormat="1" ht="15" customHeight="1">
      <c r="A271" s="41" t="s">
        <v>57</v>
      </c>
      <c r="B271" s="42" t="s">
        <v>59</v>
      </c>
      <c r="C271" s="26">
        <v>300</v>
      </c>
      <c r="D271" s="26">
        <v>700</v>
      </c>
      <c r="E271" s="27">
        <f t="shared" si="61"/>
        <v>1000</v>
      </c>
      <c r="F271" s="28">
        <v>0</v>
      </c>
      <c r="G271" s="28">
        <v>-700</v>
      </c>
      <c r="H271" s="27">
        <f t="shared" si="62"/>
        <v>-700</v>
      </c>
      <c r="I271" s="27">
        <f t="shared" si="63"/>
        <v>300</v>
      </c>
      <c r="J271" s="27">
        <f t="shared" si="64"/>
        <v>0</v>
      </c>
      <c r="K271" s="27">
        <f t="shared" si="65"/>
        <v>300</v>
      </c>
    </row>
    <row r="272" spans="1:11" s="42" customFormat="1" ht="15" customHeight="1">
      <c r="A272" s="41" t="s">
        <v>58</v>
      </c>
      <c r="B272" s="42" t="s">
        <v>60</v>
      </c>
      <c r="C272" s="26">
        <v>3000</v>
      </c>
      <c r="D272" s="26">
        <v>5000</v>
      </c>
      <c r="E272" s="27">
        <f t="shared" si="61"/>
        <v>8000</v>
      </c>
      <c r="F272" s="28">
        <v>1000</v>
      </c>
      <c r="G272" s="28">
        <v>561</v>
      </c>
      <c r="H272" s="27">
        <f t="shared" si="62"/>
        <v>1561</v>
      </c>
      <c r="I272" s="27">
        <f t="shared" si="63"/>
        <v>4000</v>
      </c>
      <c r="J272" s="27">
        <f t="shared" si="64"/>
        <v>5561</v>
      </c>
      <c r="K272" s="27">
        <f t="shared" si="65"/>
        <v>9561</v>
      </c>
    </row>
    <row r="273" spans="1:11" ht="15" customHeight="1">
      <c r="A273" s="19">
        <v>85316</v>
      </c>
      <c r="B273" s="20" t="s">
        <v>146</v>
      </c>
      <c r="C273" s="21">
        <v>0</v>
      </c>
      <c r="D273" s="21">
        <v>19000</v>
      </c>
      <c r="E273" s="22">
        <f t="shared" si="61"/>
        <v>19000</v>
      </c>
      <c r="F273" s="21">
        <f>SUM(F274)</f>
        <v>0</v>
      </c>
      <c r="G273" s="21">
        <f>SUM(G274)</f>
        <v>-1350</v>
      </c>
      <c r="H273" s="22">
        <f t="shared" si="62"/>
        <v>-1350</v>
      </c>
      <c r="I273" s="22">
        <f t="shared" si="63"/>
        <v>0</v>
      </c>
      <c r="J273" s="22">
        <f t="shared" si="64"/>
        <v>17650</v>
      </c>
      <c r="K273" s="22">
        <f t="shared" si="65"/>
        <v>17650</v>
      </c>
    </row>
    <row r="274" spans="1:11" ht="15" customHeight="1">
      <c r="A274" s="31" t="s">
        <v>47</v>
      </c>
      <c r="B274" s="29" t="s">
        <v>147</v>
      </c>
      <c r="C274" s="32">
        <v>0</v>
      </c>
      <c r="D274" s="32">
        <v>19000</v>
      </c>
      <c r="E274" s="33">
        <f t="shared" si="61"/>
        <v>19000</v>
      </c>
      <c r="F274" s="32">
        <v>0</v>
      </c>
      <c r="G274" s="32">
        <v>-1350</v>
      </c>
      <c r="H274" s="33">
        <f t="shared" si="62"/>
        <v>-1350</v>
      </c>
      <c r="I274" s="33">
        <f t="shared" si="63"/>
        <v>0</v>
      </c>
      <c r="J274" s="33">
        <f t="shared" si="64"/>
        <v>17650</v>
      </c>
      <c r="K274" s="33">
        <f t="shared" si="65"/>
        <v>17650</v>
      </c>
    </row>
    <row r="275" spans="1:11" s="20" customFormat="1" ht="15" customHeight="1">
      <c r="A275" s="19">
        <v>85326</v>
      </c>
      <c r="B275" s="20" t="s">
        <v>127</v>
      </c>
      <c r="C275" s="21">
        <v>23000</v>
      </c>
      <c r="D275" s="21">
        <v>226993</v>
      </c>
      <c r="E275" s="22">
        <f t="shared" si="61"/>
        <v>249993</v>
      </c>
      <c r="F275" s="21">
        <f>SUM(F276:F282)</f>
        <v>0</v>
      </c>
      <c r="G275" s="21">
        <f>SUM(G276:G283)</f>
        <v>0</v>
      </c>
      <c r="H275" s="22">
        <f t="shared" si="62"/>
        <v>0</v>
      </c>
      <c r="I275" s="22">
        <f t="shared" si="63"/>
        <v>23000</v>
      </c>
      <c r="J275" s="22">
        <f t="shared" si="64"/>
        <v>226993</v>
      </c>
      <c r="K275" s="22">
        <f t="shared" si="65"/>
        <v>249993</v>
      </c>
    </row>
    <row r="276" spans="1:11" s="25" customFormat="1" ht="15" customHeight="1">
      <c r="A276" s="24" t="s">
        <v>33</v>
      </c>
      <c r="B276" s="25" t="s">
        <v>37</v>
      </c>
      <c r="C276" s="26">
        <v>22700</v>
      </c>
      <c r="D276" s="26">
        <v>153000</v>
      </c>
      <c r="E276" s="27">
        <f t="shared" si="61"/>
        <v>175700</v>
      </c>
      <c r="F276" s="26">
        <v>0</v>
      </c>
      <c r="G276" s="26">
        <v>-10061</v>
      </c>
      <c r="H276" s="27">
        <f t="shared" si="62"/>
        <v>-10061</v>
      </c>
      <c r="I276" s="27">
        <f t="shared" si="63"/>
        <v>22700</v>
      </c>
      <c r="J276" s="27">
        <f t="shared" si="64"/>
        <v>142939</v>
      </c>
      <c r="K276" s="27">
        <f t="shared" si="65"/>
        <v>165639</v>
      </c>
    </row>
    <row r="277" spans="1:11" s="25" customFormat="1" ht="15" customHeight="1">
      <c r="A277" s="24" t="s">
        <v>34</v>
      </c>
      <c r="B277" s="25" t="s">
        <v>38</v>
      </c>
      <c r="C277" s="26">
        <v>0</v>
      </c>
      <c r="D277" s="26">
        <v>28490</v>
      </c>
      <c r="E277" s="27">
        <f t="shared" si="61"/>
        <v>28490</v>
      </c>
      <c r="F277" s="26">
        <v>0</v>
      </c>
      <c r="G277" s="26">
        <v>2660</v>
      </c>
      <c r="H277" s="27">
        <f t="shared" si="62"/>
        <v>2660</v>
      </c>
      <c r="I277" s="27">
        <f t="shared" si="63"/>
        <v>0</v>
      </c>
      <c r="J277" s="27">
        <f t="shared" si="64"/>
        <v>31150</v>
      </c>
      <c r="K277" s="27">
        <f t="shared" si="65"/>
        <v>31150</v>
      </c>
    </row>
    <row r="278" spans="1:11" s="25" customFormat="1" ht="15" customHeight="1">
      <c r="A278" s="24" t="s">
        <v>35</v>
      </c>
      <c r="B278" s="25" t="s">
        <v>39</v>
      </c>
      <c r="C278" s="26">
        <v>0</v>
      </c>
      <c r="D278" s="26">
        <v>5500</v>
      </c>
      <c r="E278" s="27">
        <f t="shared" si="61"/>
        <v>5500</v>
      </c>
      <c r="F278" s="26">
        <v>0</v>
      </c>
      <c r="G278" s="26">
        <v>-1195</v>
      </c>
      <c r="H278" s="27">
        <f t="shared" si="62"/>
        <v>-1195</v>
      </c>
      <c r="I278" s="27">
        <f t="shared" si="63"/>
        <v>0</v>
      </c>
      <c r="J278" s="27">
        <f t="shared" si="64"/>
        <v>4305</v>
      </c>
      <c r="K278" s="27">
        <f t="shared" si="65"/>
        <v>4305</v>
      </c>
    </row>
    <row r="279" spans="1:11" s="25" customFormat="1" ht="15" customHeight="1">
      <c r="A279" s="24" t="s">
        <v>36</v>
      </c>
      <c r="B279" s="25" t="s">
        <v>40</v>
      </c>
      <c r="C279" s="26">
        <v>0</v>
      </c>
      <c r="D279" s="26">
        <v>7050</v>
      </c>
      <c r="E279" s="27">
        <f t="shared" si="61"/>
        <v>7050</v>
      </c>
      <c r="F279" s="26">
        <v>0</v>
      </c>
      <c r="G279" s="26">
        <v>9027</v>
      </c>
      <c r="H279" s="27">
        <f t="shared" si="62"/>
        <v>9027</v>
      </c>
      <c r="I279" s="27">
        <f t="shared" si="63"/>
        <v>0</v>
      </c>
      <c r="J279" s="27">
        <f t="shared" si="64"/>
        <v>16077</v>
      </c>
      <c r="K279" s="27">
        <f t="shared" si="65"/>
        <v>16077</v>
      </c>
    </row>
    <row r="280" spans="1:11" s="25" customFormat="1" ht="15" customHeight="1">
      <c r="A280" s="24" t="s">
        <v>53</v>
      </c>
      <c r="B280" s="25" t="s">
        <v>55</v>
      </c>
      <c r="C280" s="26">
        <v>0</v>
      </c>
      <c r="D280" s="26">
        <v>2910</v>
      </c>
      <c r="E280" s="27">
        <f t="shared" si="61"/>
        <v>2910</v>
      </c>
      <c r="F280" s="26">
        <v>0</v>
      </c>
      <c r="G280" s="26">
        <v>-935</v>
      </c>
      <c r="H280" s="27">
        <f t="shared" si="62"/>
        <v>-935</v>
      </c>
      <c r="I280" s="27">
        <f t="shared" si="63"/>
        <v>0</v>
      </c>
      <c r="J280" s="27">
        <f t="shared" si="64"/>
        <v>1975</v>
      </c>
      <c r="K280" s="27">
        <f t="shared" si="65"/>
        <v>1975</v>
      </c>
    </row>
    <row r="281" spans="1:11" s="25" customFormat="1" ht="15" customHeight="1">
      <c r="A281" s="24" t="s">
        <v>20</v>
      </c>
      <c r="B281" s="25" t="s">
        <v>21</v>
      </c>
      <c r="C281" s="26">
        <v>300</v>
      </c>
      <c r="D281" s="26">
        <v>3963</v>
      </c>
      <c r="E281" s="27">
        <f t="shared" si="61"/>
        <v>4263</v>
      </c>
      <c r="F281" s="26">
        <v>0</v>
      </c>
      <c r="G281" s="26">
        <v>1300</v>
      </c>
      <c r="H281" s="27">
        <f t="shared" si="62"/>
        <v>1300</v>
      </c>
      <c r="I281" s="27">
        <f t="shared" si="63"/>
        <v>300</v>
      </c>
      <c r="J281" s="27">
        <f t="shared" si="64"/>
        <v>5263</v>
      </c>
      <c r="K281" s="27">
        <f t="shared" si="65"/>
        <v>5563</v>
      </c>
    </row>
    <row r="282" spans="1:11" s="25" customFormat="1" ht="15" customHeight="1">
      <c r="A282" s="24" t="s">
        <v>57</v>
      </c>
      <c r="B282" s="25" t="s">
        <v>59</v>
      </c>
      <c r="C282" s="26">
        <v>0</v>
      </c>
      <c r="D282" s="26">
        <v>1600</v>
      </c>
      <c r="E282" s="27">
        <f t="shared" si="61"/>
        <v>1600</v>
      </c>
      <c r="F282" s="26">
        <v>0</v>
      </c>
      <c r="G282" s="26">
        <v>-1000</v>
      </c>
      <c r="H282" s="27">
        <f t="shared" si="62"/>
        <v>-1000</v>
      </c>
      <c r="I282" s="27">
        <f t="shared" si="63"/>
        <v>0</v>
      </c>
      <c r="J282" s="27">
        <f t="shared" si="64"/>
        <v>600</v>
      </c>
      <c r="K282" s="27">
        <f t="shared" si="65"/>
        <v>600</v>
      </c>
    </row>
    <row r="283" spans="1:11" s="29" customFormat="1" ht="15" customHeight="1">
      <c r="A283" s="31" t="s">
        <v>58</v>
      </c>
      <c r="B283" s="29" t="s">
        <v>60</v>
      </c>
      <c r="C283" s="32">
        <v>0</v>
      </c>
      <c r="D283" s="32">
        <v>1683</v>
      </c>
      <c r="E283" s="33">
        <f t="shared" si="61"/>
        <v>1683</v>
      </c>
      <c r="F283" s="32">
        <v>0</v>
      </c>
      <c r="G283" s="32">
        <v>204</v>
      </c>
      <c r="H283" s="33">
        <f t="shared" si="62"/>
        <v>204</v>
      </c>
      <c r="I283" s="33">
        <f t="shared" si="63"/>
        <v>0</v>
      </c>
      <c r="J283" s="33">
        <f t="shared" si="64"/>
        <v>1887</v>
      </c>
      <c r="K283" s="33">
        <f t="shared" si="65"/>
        <v>1887</v>
      </c>
    </row>
    <row r="284" spans="1:11" ht="15" customHeight="1">
      <c r="A284" s="13" t="s">
        <v>67</v>
      </c>
      <c r="B284" s="14" t="s">
        <v>96</v>
      </c>
      <c r="C284" s="15">
        <v>4124149</v>
      </c>
      <c r="D284" s="15">
        <v>746623</v>
      </c>
      <c r="E284" s="7">
        <f t="shared" si="61"/>
        <v>4870772</v>
      </c>
      <c r="F284" s="15">
        <f>F287+F291+F302+F306+F312+F314</f>
        <v>-126110</v>
      </c>
      <c r="G284" s="15">
        <f>G287+G291+G302+G306+G312+G314</f>
        <v>72833</v>
      </c>
      <c r="H284" s="7">
        <f t="shared" si="62"/>
        <v>-53277</v>
      </c>
      <c r="I284" s="7">
        <f t="shared" si="63"/>
        <v>3998039</v>
      </c>
      <c r="J284" s="7">
        <f t="shared" si="64"/>
        <v>819456</v>
      </c>
      <c r="K284" s="7">
        <f t="shared" si="65"/>
        <v>4817495</v>
      </c>
    </row>
    <row r="285" spans="1:11" ht="15" customHeight="1">
      <c r="A285" s="13"/>
      <c r="B285" s="14" t="s">
        <v>11</v>
      </c>
      <c r="C285" s="15"/>
      <c r="D285" s="15"/>
      <c r="E285" s="7"/>
      <c r="F285" s="15"/>
      <c r="G285" s="15"/>
      <c r="H285" s="7"/>
      <c r="I285" s="7"/>
      <c r="J285" s="7"/>
      <c r="K285" s="7"/>
    </row>
    <row r="286" spans="1:11" ht="15" customHeight="1">
      <c r="A286" s="13"/>
      <c r="B286" s="14" t="s">
        <v>12</v>
      </c>
      <c r="C286" s="15">
        <v>0</v>
      </c>
      <c r="D286" s="15">
        <v>0</v>
      </c>
      <c r="E286" s="7">
        <f aca="true" t="shared" si="66" ref="E286:E315">SUM(C286:D286)</f>
        <v>0</v>
      </c>
      <c r="F286" s="15">
        <v>0</v>
      </c>
      <c r="G286" s="15">
        <v>0</v>
      </c>
      <c r="H286" s="7">
        <f aca="true" t="shared" si="67" ref="H286:H305">F286+G286</f>
        <v>0</v>
      </c>
      <c r="I286" s="7">
        <f>C286+F286</f>
        <v>0</v>
      </c>
      <c r="J286" s="7">
        <f>D286+G286</f>
        <v>0</v>
      </c>
      <c r="K286" s="7">
        <f>E286+H286</f>
        <v>0</v>
      </c>
    </row>
    <row r="287" spans="1:11" s="38" customFormat="1" ht="15" customHeight="1">
      <c r="A287" s="37">
        <v>85401</v>
      </c>
      <c r="B287" s="38" t="s">
        <v>97</v>
      </c>
      <c r="C287" s="21">
        <v>187600</v>
      </c>
      <c r="D287" s="21">
        <v>0</v>
      </c>
      <c r="E287" s="22">
        <f t="shared" si="66"/>
        <v>187600</v>
      </c>
      <c r="F287" s="23">
        <f>SUM(F288:F290)</f>
        <v>-41880</v>
      </c>
      <c r="G287" s="23">
        <v>0</v>
      </c>
      <c r="H287" s="22">
        <f t="shared" si="67"/>
        <v>-41880</v>
      </c>
      <c r="I287" s="22">
        <f aca="true" t="shared" si="68" ref="I287:K315">C287+F287</f>
        <v>145720</v>
      </c>
      <c r="J287" s="22">
        <f t="shared" si="68"/>
        <v>0</v>
      </c>
      <c r="K287" s="22">
        <f t="shared" si="68"/>
        <v>145720</v>
      </c>
    </row>
    <row r="288" spans="1:11" s="42" customFormat="1" ht="15" customHeight="1">
      <c r="A288" s="41" t="s">
        <v>33</v>
      </c>
      <c r="B288" s="42" t="s">
        <v>37</v>
      </c>
      <c r="C288" s="26">
        <v>133138</v>
      </c>
      <c r="D288" s="26">
        <v>0</v>
      </c>
      <c r="E288" s="27">
        <f t="shared" si="66"/>
        <v>133138</v>
      </c>
      <c r="F288" s="28">
        <f>-36322</f>
        <v>-36322</v>
      </c>
      <c r="G288" s="28">
        <v>0</v>
      </c>
      <c r="H288" s="27">
        <f t="shared" si="67"/>
        <v>-36322</v>
      </c>
      <c r="I288" s="27">
        <f t="shared" si="68"/>
        <v>96816</v>
      </c>
      <c r="J288" s="27">
        <f t="shared" si="68"/>
        <v>0</v>
      </c>
      <c r="K288" s="27">
        <f t="shared" si="68"/>
        <v>96816</v>
      </c>
    </row>
    <row r="289" spans="1:11" s="42" customFormat="1" ht="15" customHeight="1">
      <c r="A289" s="41" t="s">
        <v>34</v>
      </c>
      <c r="B289" s="42" t="s">
        <v>119</v>
      </c>
      <c r="C289" s="26">
        <v>24800</v>
      </c>
      <c r="D289" s="26">
        <v>0</v>
      </c>
      <c r="E289" s="27">
        <f t="shared" si="66"/>
        <v>24800</v>
      </c>
      <c r="F289" s="28">
        <f>-4840</f>
        <v>-4840</v>
      </c>
      <c r="G289" s="28">
        <v>0</v>
      </c>
      <c r="H289" s="27">
        <f t="shared" si="67"/>
        <v>-4840</v>
      </c>
      <c r="I289" s="27">
        <f t="shared" si="68"/>
        <v>19960</v>
      </c>
      <c r="J289" s="27">
        <f t="shared" si="68"/>
        <v>0</v>
      </c>
      <c r="K289" s="27">
        <f t="shared" si="68"/>
        <v>19960</v>
      </c>
    </row>
    <row r="290" spans="1:11" s="42" customFormat="1" ht="15" customHeight="1">
      <c r="A290" s="41" t="s">
        <v>35</v>
      </c>
      <c r="B290" s="42" t="s">
        <v>39</v>
      </c>
      <c r="C290" s="26">
        <v>3400</v>
      </c>
      <c r="D290" s="26">
        <v>0</v>
      </c>
      <c r="E290" s="27">
        <f t="shared" si="66"/>
        <v>3400</v>
      </c>
      <c r="F290" s="28">
        <f>-718</f>
        <v>-718</v>
      </c>
      <c r="G290" s="28">
        <v>0</v>
      </c>
      <c r="H290" s="27">
        <f t="shared" si="67"/>
        <v>-718</v>
      </c>
      <c r="I290" s="27">
        <f t="shared" si="68"/>
        <v>2682</v>
      </c>
      <c r="J290" s="27">
        <f t="shared" si="68"/>
        <v>0</v>
      </c>
      <c r="K290" s="27">
        <f t="shared" si="68"/>
        <v>2682</v>
      </c>
    </row>
    <row r="291" spans="1:11" s="38" customFormat="1" ht="15" customHeight="1">
      <c r="A291" s="37">
        <v>85403</v>
      </c>
      <c r="B291" s="38" t="s">
        <v>120</v>
      </c>
      <c r="C291" s="21">
        <v>2151100</v>
      </c>
      <c r="D291" s="21">
        <v>0</v>
      </c>
      <c r="E291" s="22">
        <f t="shared" si="66"/>
        <v>2151100</v>
      </c>
      <c r="F291" s="23">
        <f>SUM(F292:F301)</f>
        <v>50941</v>
      </c>
      <c r="G291" s="23">
        <f>SUM(G294:G294)</f>
        <v>0</v>
      </c>
      <c r="H291" s="22">
        <f t="shared" si="67"/>
        <v>50941</v>
      </c>
      <c r="I291" s="22">
        <f t="shared" si="68"/>
        <v>2202041</v>
      </c>
      <c r="J291" s="22">
        <f t="shared" si="68"/>
        <v>0</v>
      </c>
      <c r="K291" s="22">
        <f t="shared" si="68"/>
        <v>2202041</v>
      </c>
    </row>
    <row r="292" spans="1:11" s="42" customFormat="1" ht="15" customHeight="1">
      <c r="A292" s="41" t="s">
        <v>33</v>
      </c>
      <c r="B292" s="42" t="s">
        <v>37</v>
      </c>
      <c r="C292" s="26">
        <v>1364907</v>
      </c>
      <c r="D292" s="26">
        <v>0</v>
      </c>
      <c r="E292" s="27">
        <f t="shared" si="66"/>
        <v>1364907</v>
      </c>
      <c r="F292" s="28">
        <f>-5700+57933+40900</f>
        <v>93133</v>
      </c>
      <c r="G292" s="28">
        <v>0</v>
      </c>
      <c r="H292" s="27">
        <f t="shared" si="67"/>
        <v>93133</v>
      </c>
      <c r="I292" s="27">
        <f t="shared" si="68"/>
        <v>1458040</v>
      </c>
      <c r="J292" s="27">
        <f t="shared" si="68"/>
        <v>0</v>
      </c>
      <c r="K292" s="27">
        <f t="shared" si="68"/>
        <v>1458040</v>
      </c>
    </row>
    <row r="293" spans="1:11" s="42" customFormat="1" ht="15" customHeight="1">
      <c r="A293" s="41" t="s">
        <v>34</v>
      </c>
      <c r="B293" s="42" t="s">
        <v>119</v>
      </c>
      <c r="C293" s="26">
        <v>288600</v>
      </c>
      <c r="D293" s="26">
        <v>0</v>
      </c>
      <c r="E293" s="27">
        <f t="shared" si="66"/>
        <v>288600</v>
      </c>
      <c r="F293" s="28">
        <f>-1053</f>
        <v>-1053</v>
      </c>
      <c r="G293" s="28">
        <v>0</v>
      </c>
      <c r="H293" s="27">
        <f t="shared" si="67"/>
        <v>-1053</v>
      </c>
      <c r="I293" s="27">
        <f t="shared" si="68"/>
        <v>287547</v>
      </c>
      <c r="J293" s="27">
        <f t="shared" si="68"/>
        <v>0</v>
      </c>
      <c r="K293" s="27">
        <f t="shared" si="68"/>
        <v>287547</v>
      </c>
    </row>
    <row r="294" spans="1:11" s="42" customFormat="1" ht="15" customHeight="1">
      <c r="A294" s="41" t="s">
        <v>35</v>
      </c>
      <c r="B294" s="42" t="s">
        <v>39</v>
      </c>
      <c r="C294" s="26">
        <v>39800</v>
      </c>
      <c r="D294" s="26">
        <v>0</v>
      </c>
      <c r="E294" s="27">
        <f t="shared" si="66"/>
        <v>39800</v>
      </c>
      <c r="F294" s="28">
        <f>-239</f>
        <v>-239</v>
      </c>
      <c r="G294" s="28">
        <v>0</v>
      </c>
      <c r="H294" s="27">
        <f t="shared" si="67"/>
        <v>-239</v>
      </c>
      <c r="I294" s="27">
        <f t="shared" si="68"/>
        <v>39561</v>
      </c>
      <c r="J294" s="27">
        <f t="shared" si="68"/>
        <v>0</v>
      </c>
      <c r="K294" s="27">
        <f t="shared" si="68"/>
        <v>39561</v>
      </c>
    </row>
    <row r="295" spans="1:11" s="42" customFormat="1" ht="15" customHeight="1">
      <c r="A295" s="41" t="s">
        <v>36</v>
      </c>
      <c r="B295" s="42" t="s">
        <v>40</v>
      </c>
      <c r="C295" s="26">
        <v>30000</v>
      </c>
      <c r="D295" s="26">
        <v>0</v>
      </c>
      <c r="E295" s="27">
        <f t="shared" si="66"/>
        <v>30000</v>
      </c>
      <c r="F295" s="28">
        <f>-20000</f>
        <v>-20000</v>
      </c>
      <c r="G295" s="28">
        <v>0</v>
      </c>
      <c r="H295" s="27">
        <f t="shared" si="67"/>
        <v>-20000</v>
      </c>
      <c r="I295" s="27">
        <f t="shared" si="68"/>
        <v>10000</v>
      </c>
      <c r="J295" s="27">
        <f t="shared" si="68"/>
        <v>0</v>
      </c>
      <c r="K295" s="27">
        <f t="shared" si="68"/>
        <v>10000</v>
      </c>
    </row>
    <row r="296" spans="1:11" s="42" customFormat="1" ht="15" customHeight="1">
      <c r="A296" s="41" t="s">
        <v>42</v>
      </c>
      <c r="B296" s="42" t="s">
        <v>43</v>
      </c>
      <c r="C296" s="26">
        <v>110000</v>
      </c>
      <c r="D296" s="26">
        <v>0</v>
      </c>
      <c r="E296" s="27">
        <f t="shared" si="66"/>
        <v>110000</v>
      </c>
      <c r="F296" s="28">
        <f>-10000</f>
        <v>-10000</v>
      </c>
      <c r="G296" s="28">
        <v>0</v>
      </c>
      <c r="H296" s="27">
        <f t="shared" si="67"/>
        <v>-10000</v>
      </c>
      <c r="I296" s="27">
        <f t="shared" si="68"/>
        <v>100000</v>
      </c>
      <c r="J296" s="27">
        <f t="shared" si="68"/>
        <v>0</v>
      </c>
      <c r="K296" s="27">
        <f t="shared" si="68"/>
        <v>100000</v>
      </c>
    </row>
    <row r="297" spans="1:11" s="42" customFormat="1" ht="15" customHeight="1">
      <c r="A297" s="41" t="s">
        <v>54</v>
      </c>
      <c r="B297" s="42" t="s">
        <v>121</v>
      </c>
      <c r="C297" s="26">
        <v>2000</v>
      </c>
      <c r="D297" s="26">
        <v>0</v>
      </c>
      <c r="E297" s="27">
        <f t="shared" si="66"/>
        <v>2000</v>
      </c>
      <c r="F297" s="28">
        <f>-1900</f>
        <v>-1900</v>
      </c>
      <c r="G297" s="28">
        <v>0</v>
      </c>
      <c r="H297" s="27">
        <f t="shared" si="67"/>
        <v>-1900</v>
      </c>
      <c r="I297" s="27">
        <f t="shared" si="68"/>
        <v>100</v>
      </c>
      <c r="J297" s="27">
        <f t="shared" si="68"/>
        <v>0</v>
      </c>
      <c r="K297" s="27">
        <f t="shared" si="68"/>
        <v>100</v>
      </c>
    </row>
    <row r="298" spans="1:11" s="42" customFormat="1" ht="15" customHeight="1">
      <c r="A298" s="41" t="s">
        <v>53</v>
      </c>
      <c r="B298" s="42" t="s">
        <v>55</v>
      </c>
      <c r="C298" s="26">
        <v>100000</v>
      </c>
      <c r="D298" s="26">
        <v>0</v>
      </c>
      <c r="E298" s="27">
        <f t="shared" si="66"/>
        <v>100000</v>
      </c>
      <c r="F298" s="28">
        <f>-10000</f>
        <v>-10000</v>
      </c>
      <c r="G298" s="28">
        <v>0</v>
      </c>
      <c r="H298" s="27">
        <f t="shared" si="67"/>
        <v>-10000</v>
      </c>
      <c r="I298" s="27">
        <f t="shared" si="68"/>
        <v>90000</v>
      </c>
      <c r="J298" s="27">
        <f t="shared" si="68"/>
        <v>0</v>
      </c>
      <c r="K298" s="27">
        <f t="shared" si="68"/>
        <v>90000</v>
      </c>
    </row>
    <row r="299" spans="1:11" s="42" customFormat="1" ht="15" customHeight="1">
      <c r="A299" s="41" t="s">
        <v>25</v>
      </c>
      <c r="B299" s="42" t="s">
        <v>26</v>
      </c>
      <c r="C299" s="26">
        <v>3000</v>
      </c>
      <c r="D299" s="26">
        <v>0</v>
      </c>
      <c r="E299" s="27">
        <f t="shared" si="66"/>
        <v>3000</v>
      </c>
      <c r="F299" s="28">
        <v>6000</v>
      </c>
      <c r="G299" s="28">
        <v>0</v>
      </c>
      <c r="H299" s="27">
        <f t="shared" si="67"/>
        <v>6000</v>
      </c>
      <c r="I299" s="27">
        <f t="shared" si="68"/>
        <v>9000</v>
      </c>
      <c r="J299" s="27">
        <f t="shared" si="68"/>
        <v>0</v>
      </c>
      <c r="K299" s="27">
        <f t="shared" si="68"/>
        <v>9000</v>
      </c>
    </row>
    <row r="300" spans="1:11" s="42" customFormat="1" ht="15" customHeight="1">
      <c r="A300" s="41" t="s">
        <v>20</v>
      </c>
      <c r="B300" s="42" t="s">
        <v>21</v>
      </c>
      <c r="C300" s="26">
        <v>15000</v>
      </c>
      <c r="D300" s="26">
        <v>0</v>
      </c>
      <c r="E300" s="27">
        <f t="shared" si="66"/>
        <v>15000</v>
      </c>
      <c r="F300" s="28">
        <f>-4000</f>
        <v>-4000</v>
      </c>
      <c r="G300" s="28">
        <v>0</v>
      </c>
      <c r="H300" s="27">
        <f t="shared" si="67"/>
        <v>-4000</v>
      </c>
      <c r="I300" s="27">
        <f t="shared" si="68"/>
        <v>11000</v>
      </c>
      <c r="J300" s="27">
        <f t="shared" si="68"/>
        <v>0</v>
      </c>
      <c r="K300" s="27">
        <f t="shared" si="68"/>
        <v>11000</v>
      </c>
    </row>
    <row r="301" spans="1:11" s="42" customFormat="1" ht="15" customHeight="1">
      <c r="A301" s="41" t="s">
        <v>57</v>
      </c>
      <c r="B301" s="42" t="s">
        <v>59</v>
      </c>
      <c r="C301" s="26">
        <v>1000</v>
      </c>
      <c r="D301" s="26">
        <v>0</v>
      </c>
      <c r="E301" s="27">
        <f t="shared" si="66"/>
        <v>1000</v>
      </c>
      <c r="F301" s="28">
        <f>-1000</f>
        <v>-1000</v>
      </c>
      <c r="G301" s="28">
        <v>0</v>
      </c>
      <c r="H301" s="27">
        <f t="shared" si="67"/>
        <v>-1000</v>
      </c>
      <c r="I301" s="27">
        <f t="shared" si="68"/>
        <v>0</v>
      </c>
      <c r="J301" s="27">
        <f t="shared" si="68"/>
        <v>0</v>
      </c>
      <c r="K301" s="27">
        <f t="shared" si="68"/>
        <v>0</v>
      </c>
    </row>
    <row r="302" spans="1:11" s="38" customFormat="1" ht="15" customHeight="1">
      <c r="A302" s="37">
        <v>85406</v>
      </c>
      <c r="B302" s="38" t="s">
        <v>122</v>
      </c>
      <c r="C302" s="21">
        <v>740000</v>
      </c>
      <c r="D302" s="21">
        <v>549270</v>
      </c>
      <c r="E302" s="22">
        <f t="shared" si="66"/>
        <v>1289270</v>
      </c>
      <c r="F302" s="23">
        <f>SUM(F303:F305)</f>
        <v>-39825</v>
      </c>
      <c r="G302" s="23">
        <f>SUM(G303:G305)</f>
        <v>72833</v>
      </c>
      <c r="H302" s="22">
        <f t="shared" si="67"/>
        <v>33008</v>
      </c>
      <c r="I302" s="22">
        <f t="shared" si="68"/>
        <v>700175</v>
      </c>
      <c r="J302" s="22">
        <f t="shared" si="68"/>
        <v>622103</v>
      </c>
      <c r="K302" s="22">
        <f t="shared" si="68"/>
        <v>1322278</v>
      </c>
    </row>
    <row r="303" spans="1:11" s="42" customFormat="1" ht="15" customHeight="1">
      <c r="A303" s="41" t="s">
        <v>33</v>
      </c>
      <c r="B303" s="42" t="s">
        <v>37</v>
      </c>
      <c r="C303" s="26">
        <v>503953</v>
      </c>
      <c r="D303" s="26">
        <v>396130</v>
      </c>
      <c r="E303" s="27">
        <f t="shared" si="66"/>
        <v>900083</v>
      </c>
      <c r="F303" s="28">
        <f>-32833-5700</f>
        <v>-38533</v>
      </c>
      <c r="G303" s="28">
        <v>72833</v>
      </c>
      <c r="H303" s="27">
        <f t="shared" si="67"/>
        <v>34300</v>
      </c>
      <c r="I303" s="27">
        <f t="shared" si="68"/>
        <v>465420</v>
      </c>
      <c r="J303" s="27">
        <f t="shared" si="68"/>
        <v>468963</v>
      </c>
      <c r="K303" s="27">
        <f t="shared" si="68"/>
        <v>934383</v>
      </c>
    </row>
    <row r="304" spans="1:11" s="42" customFormat="1" ht="15" customHeight="1">
      <c r="A304" s="41" t="s">
        <v>34</v>
      </c>
      <c r="B304" s="42" t="s">
        <v>119</v>
      </c>
      <c r="C304" s="26">
        <v>93500</v>
      </c>
      <c r="D304" s="26">
        <v>85570</v>
      </c>
      <c r="E304" s="27">
        <f t="shared" si="66"/>
        <v>179070</v>
      </c>
      <c r="F304" s="28">
        <f>-1053</f>
        <v>-1053</v>
      </c>
      <c r="G304" s="28">
        <v>0</v>
      </c>
      <c r="H304" s="27">
        <f t="shared" si="67"/>
        <v>-1053</v>
      </c>
      <c r="I304" s="27">
        <f t="shared" si="68"/>
        <v>92447</v>
      </c>
      <c r="J304" s="27">
        <f t="shared" si="68"/>
        <v>85570</v>
      </c>
      <c r="K304" s="27">
        <f t="shared" si="68"/>
        <v>178017</v>
      </c>
    </row>
    <row r="305" spans="1:11" s="42" customFormat="1" ht="15" customHeight="1">
      <c r="A305" s="41" t="s">
        <v>35</v>
      </c>
      <c r="B305" s="42" t="s">
        <v>39</v>
      </c>
      <c r="C305" s="26">
        <v>12900</v>
      </c>
      <c r="D305" s="26">
        <v>10600</v>
      </c>
      <c r="E305" s="27">
        <f t="shared" si="66"/>
        <v>23500</v>
      </c>
      <c r="F305" s="28">
        <f>-239</f>
        <v>-239</v>
      </c>
      <c r="G305" s="28">
        <v>0</v>
      </c>
      <c r="H305" s="27">
        <f t="shared" si="67"/>
        <v>-239</v>
      </c>
      <c r="I305" s="27">
        <f t="shared" si="68"/>
        <v>12661</v>
      </c>
      <c r="J305" s="27">
        <f t="shared" si="68"/>
        <v>10600</v>
      </c>
      <c r="K305" s="27">
        <f t="shared" si="68"/>
        <v>23261</v>
      </c>
    </row>
    <row r="306" spans="1:11" s="20" customFormat="1" ht="15" customHeight="1">
      <c r="A306" s="19">
        <v>85410</v>
      </c>
      <c r="B306" s="20" t="s">
        <v>123</v>
      </c>
      <c r="C306" s="21">
        <v>993191</v>
      </c>
      <c r="D306" s="21">
        <v>0</v>
      </c>
      <c r="E306" s="22">
        <f t="shared" si="66"/>
        <v>993191</v>
      </c>
      <c r="F306" s="23">
        <f>SUM(F307:F311)</f>
        <v>-94289</v>
      </c>
      <c r="G306" s="23">
        <f>SUM(G309:G309)</f>
        <v>0</v>
      </c>
      <c r="H306" s="22">
        <f aca="true" t="shared" si="69" ref="H306:H315">F306+G306</f>
        <v>-94289</v>
      </c>
      <c r="I306" s="22">
        <f t="shared" si="68"/>
        <v>898902</v>
      </c>
      <c r="J306" s="22">
        <f t="shared" si="68"/>
        <v>0</v>
      </c>
      <c r="K306" s="22">
        <f t="shared" si="68"/>
        <v>898902</v>
      </c>
    </row>
    <row r="307" spans="1:11" s="25" customFormat="1" ht="15" customHeight="1">
      <c r="A307" s="30" t="s">
        <v>56</v>
      </c>
      <c r="B307" s="25" t="s">
        <v>80</v>
      </c>
      <c r="C307" s="26">
        <v>4800</v>
      </c>
      <c r="D307" s="26">
        <v>0</v>
      </c>
      <c r="E307" s="27">
        <f t="shared" si="66"/>
        <v>4800</v>
      </c>
      <c r="F307" s="28">
        <f>-2280</f>
        <v>-2280</v>
      </c>
      <c r="G307" s="28">
        <v>0</v>
      </c>
      <c r="H307" s="27">
        <f t="shared" si="69"/>
        <v>-2280</v>
      </c>
      <c r="I307" s="27">
        <f t="shared" si="68"/>
        <v>2520</v>
      </c>
      <c r="J307" s="27">
        <f t="shared" si="68"/>
        <v>0</v>
      </c>
      <c r="K307" s="27">
        <f t="shared" si="68"/>
        <v>2520</v>
      </c>
    </row>
    <row r="308" spans="1:11" s="25" customFormat="1" ht="15" customHeight="1">
      <c r="A308" s="30" t="s">
        <v>33</v>
      </c>
      <c r="B308" s="25" t="s">
        <v>37</v>
      </c>
      <c r="C308" s="26">
        <v>498000</v>
      </c>
      <c r="D308" s="26">
        <v>0</v>
      </c>
      <c r="E308" s="27">
        <f t="shared" si="66"/>
        <v>498000</v>
      </c>
      <c r="F308" s="28">
        <f>-6000-4509</f>
        <v>-10509</v>
      </c>
      <c r="G308" s="28">
        <v>0</v>
      </c>
      <c r="H308" s="27">
        <f t="shared" si="69"/>
        <v>-10509</v>
      </c>
      <c r="I308" s="27">
        <f t="shared" si="68"/>
        <v>487491</v>
      </c>
      <c r="J308" s="27">
        <f t="shared" si="68"/>
        <v>0</v>
      </c>
      <c r="K308" s="27">
        <f t="shared" si="68"/>
        <v>487491</v>
      </c>
    </row>
    <row r="309" spans="1:11" s="25" customFormat="1" ht="15" customHeight="1">
      <c r="A309" s="30" t="s">
        <v>34</v>
      </c>
      <c r="B309" s="25" t="s">
        <v>38</v>
      </c>
      <c r="C309" s="26">
        <v>87400</v>
      </c>
      <c r="D309" s="26">
        <v>0</v>
      </c>
      <c r="E309" s="27">
        <f t="shared" si="66"/>
        <v>87400</v>
      </c>
      <c r="F309" s="28">
        <f>-1100-1300</f>
        <v>-2400</v>
      </c>
      <c r="G309" s="28">
        <v>0</v>
      </c>
      <c r="H309" s="27">
        <f t="shared" si="69"/>
        <v>-2400</v>
      </c>
      <c r="I309" s="27">
        <f t="shared" si="68"/>
        <v>85000</v>
      </c>
      <c r="J309" s="27">
        <f t="shared" si="68"/>
        <v>0</v>
      </c>
      <c r="K309" s="27">
        <f t="shared" si="68"/>
        <v>85000</v>
      </c>
    </row>
    <row r="310" spans="1:11" s="25" customFormat="1" ht="15" customHeight="1">
      <c r="A310" s="30" t="s">
        <v>35</v>
      </c>
      <c r="B310" s="25" t="s">
        <v>39</v>
      </c>
      <c r="C310" s="26">
        <v>12700</v>
      </c>
      <c r="D310" s="26">
        <v>0</v>
      </c>
      <c r="E310" s="27">
        <f t="shared" si="66"/>
        <v>12700</v>
      </c>
      <c r="F310" s="28">
        <f>-200</f>
        <v>-200</v>
      </c>
      <c r="G310" s="28">
        <v>0</v>
      </c>
      <c r="H310" s="27">
        <f t="shared" si="69"/>
        <v>-200</v>
      </c>
      <c r="I310" s="27">
        <f t="shared" si="68"/>
        <v>12500</v>
      </c>
      <c r="J310" s="27">
        <f t="shared" si="68"/>
        <v>0</v>
      </c>
      <c r="K310" s="27">
        <f t="shared" si="68"/>
        <v>12500</v>
      </c>
    </row>
    <row r="311" spans="1:11" s="40" customFormat="1" ht="15" customHeight="1">
      <c r="A311" s="39" t="s">
        <v>25</v>
      </c>
      <c r="B311" s="40" t="s">
        <v>26</v>
      </c>
      <c r="C311" s="32">
        <v>139000</v>
      </c>
      <c r="D311" s="32">
        <v>0</v>
      </c>
      <c r="E311" s="33">
        <f t="shared" si="66"/>
        <v>139000</v>
      </c>
      <c r="F311" s="34">
        <f>-78900</f>
        <v>-78900</v>
      </c>
      <c r="G311" s="34">
        <v>0</v>
      </c>
      <c r="H311" s="33">
        <f t="shared" si="69"/>
        <v>-78900</v>
      </c>
      <c r="I311" s="33">
        <f t="shared" si="68"/>
        <v>60100</v>
      </c>
      <c r="J311" s="33">
        <f t="shared" si="68"/>
        <v>0</v>
      </c>
      <c r="K311" s="33">
        <f t="shared" si="68"/>
        <v>60100</v>
      </c>
    </row>
    <row r="312" spans="1:11" ht="15" customHeight="1">
      <c r="A312" s="19">
        <v>85417</v>
      </c>
      <c r="B312" s="20" t="s">
        <v>124</v>
      </c>
      <c r="C312" s="21">
        <v>51058</v>
      </c>
      <c r="D312" s="21">
        <v>0</v>
      </c>
      <c r="E312" s="22">
        <f t="shared" si="66"/>
        <v>51058</v>
      </c>
      <c r="F312" s="21">
        <f>SUM(F313)</f>
        <v>-342</v>
      </c>
      <c r="G312" s="21">
        <f>SUM(G313)</f>
        <v>0</v>
      </c>
      <c r="H312" s="22">
        <f t="shared" si="69"/>
        <v>-342</v>
      </c>
      <c r="I312" s="22">
        <f t="shared" si="68"/>
        <v>50716</v>
      </c>
      <c r="J312" s="22">
        <f t="shared" si="68"/>
        <v>0</v>
      </c>
      <c r="K312" s="22">
        <f t="shared" si="68"/>
        <v>50716</v>
      </c>
    </row>
    <row r="313" spans="1:11" ht="15" customHeight="1">
      <c r="A313" s="31" t="s">
        <v>33</v>
      </c>
      <c r="B313" s="29" t="s">
        <v>37</v>
      </c>
      <c r="C313" s="32">
        <v>39000</v>
      </c>
      <c r="D313" s="32">
        <v>0</v>
      </c>
      <c r="E313" s="33">
        <f t="shared" si="66"/>
        <v>39000</v>
      </c>
      <c r="F313" s="32">
        <v>-342</v>
      </c>
      <c r="G313" s="32">
        <v>0</v>
      </c>
      <c r="H313" s="33">
        <f t="shared" si="69"/>
        <v>-342</v>
      </c>
      <c r="I313" s="33">
        <f t="shared" si="68"/>
        <v>38658</v>
      </c>
      <c r="J313" s="33">
        <f t="shared" si="68"/>
        <v>0</v>
      </c>
      <c r="K313" s="33">
        <f t="shared" si="68"/>
        <v>38658</v>
      </c>
    </row>
    <row r="314" spans="1:11" ht="15" customHeight="1">
      <c r="A314" s="19">
        <v>85446</v>
      </c>
      <c r="B314" s="20" t="s">
        <v>41</v>
      </c>
      <c r="C314" s="21">
        <v>1200</v>
      </c>
      <c r="D314" s="21">
        <v>0</v>
      </c>
      <c r="E314" s="22">
        <f t="shared" si="66"/>
        <v>1200</v>
      </c>
      <c r="F314" s="21">
        <f>F315</f>
        <v>-715</v>
      </c>
      <c r="G314" s="21">
        <f>SUM(G315)</f>
        <v>0</v>
      </c>
      <c r="H314" s="22">
        <f t="shared" si="69"/>
        <v>-715</v>
      </c>
      <c r="I314" s="22">
        <f t="shared" si="68"/>
        <v>485</v>
      </c>
      <c r="J314" s="22">
        <f t="shared" si="68"/>
        <v>0</v>
      </c>
      <c r="K314" s="22">
        <f t="shared" si="68"/>
        <v>485</v>
      </c>
    </row>
    <row r="315" spans="1:11" ht="15" customHeight="1">
      <c r="A315" s="31" t="s">
        <v>20</v>
      </c>
      <c r="B315" s="29" t="s">
        <v>21</v>
      </c>
      <c r="C315" s="32">
        <v>1200</v>
      </c>
      <c r="D315" s="32">
        <v>0</v>
      </c>
      <c r="E315" s="33">
        <f t="shared" si="66"/>
        <v>1200</v>
      </c>
      <c r="F315" s="32">
        <v>-715</v>
      </c>
      <c r="G315" s="32">
        <v>0</v>
      </c>
      <c r="H315" s="33">
        <f t="shared" si="69"/>
        <v>-715</v>
      </c>
      <c r="I315" s="33">
        <f t="shared" si="68"/>
        <v>485</v>
      </c>
      <c r="J315" s="33">
        <f t="shared" si="68"/>
        <v>0</v>
      </c>
      <c r="K315" s="33">
        <f t="shared" si="68"/>
        <v>485</v>
      </c>
    </row>
  </sheetData>
  <mergeCells count="12">
    <mergeCell ref="A174:K174"/>
    <mergeCell ref="A13:K13"/>
    <mergeCell ref="A6:K6"/>
    <mergeCell ref="A7:A8"/>
    <mergeCell ref="B7:B8"/>
    <mergeCell ref="C7:E7"/>
    <mergeCell ref="F7:H7"/>
    <mergeCell ref="I7:K7"/>
    <mergeCell ref="I1:K1"/>
    <mergeCell ref="I2:K2"/>
    <mergeCell ref="I3:K3"/>
    <mergeCell ref="I4:K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Urząd Miasta w Piotrkowie T.</cp:lastModifiedBy>
  <cp:lastPrinted>2003-12-11T12:15:00Z</cp:lastPrinted>
  <dcterms:created xsi:type="dcterms:W3CDTF">2003-09-26T12:48:28Z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