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<sst xmlns="http://schemas.openxmlformats.org/spreadsheetml/2006/main" count="81" uniqueCount="81">
  <si>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Załącznik nr 2</t>
  </si>
  <si>
    <t>Rady Miasta Piotrkowa Tryb.</t>
  </si>
  <si>
    <t xml:space="preserve">P R O G N O Z A    F I N A N S O W A  </t>
  </si>
  <si>
    <t xml:space="preserve">Miasta Piotrkowa Trybunalskiego dla Wieloletniego Programu Inwestycyjnego </t>
  </si>
  <si>
    <t>Lp.</t>
  </si>
  <si>
    <t>WYSZCZEGÓLNIENIE</t>
  </si>
  <si>
    <t>Wykonanie 2006</t>
  </si>
  <si>
    <t>Plan 2007</t>
  </si>
  <si>
    <t>Prognoza 2008</t>
  </si>
  <si>
    <t>Prognoza 2009</t>
  </si>
  <si>
    <t>Prognoza 2010</t>
  </si>
  <si>
    <t>Prognoza 2011</t>
  </si>
  <si>
    <t>Prognoza 2012</t>
  </si>
  <si>
    <t>Prognoza 2013</t>
  </si>
  <si>
    <t>Prognoza 2014</t>
  </si>
  <si>
    <t>Prognoza 2015</t>
  </si>
  <si>
    <t>A.</t>
  </si>
  <si>
    <t xml:space="preserve">Środki niewykorzystane w latach ubiegłych </t>
  </si>
  <si>
    <t>B.</t>
  </si>
  <si>
    <t>DOCHODY OGÓŁEM</t>
  </si>
  <si>
    <t>B.I</t>
  </si>
  <si>
    <t>Dochody własne</t>
  </si>
  <si>
    <t>1.</t>
  </si>
  <si>
    <t xml:space="preserve">z podatków i opłat </t>
  </si>
  <si>
    <t>2.</t>
  </si>
  <si>
    <t>ze sprzedaży mienia</t>
  </si>
  <si>
    <t>3.</t>
  </si>
  <si>
    <t>z udziałów w dochodach państwa</t>
  </si>
  <si>
    <t>4.</t>
  </si>
  <si>
    <t>pozostałe dochody</t>
  </si>
  <si>
    <t>B.II</t>
  </si>
  <si>
    <t>Subwencje</t>
  </si>
  <si>
    <t>B.III</t>
  </si>
  <si>
    <t>Dotacje na zadania zlecone i powierzone</t>
  </si>
  <si>
    <t>B.IV</t>
  </si>
  <si>
    <t>Dotacje na zadania własne</t>
  </si>
  <si>
    <t>B.V</t>
  </si>
  <si>
    <t>Środki pochodzące z Unii Europejskiej</t>
  </si>
  <si>
    <t>C.</t>
  </si>
  <si>
    <t>Zaciągnięte kredyty i pożyczki</t>
  </si>
  <si>
    <t>C.I</t>
  </si>
  <si>
    <t>w tym: zaciągnięte w związku z umową zawartą z podmiotem dysponującym środkami , o których mowa w art. 5 ust.3 ustawy o finansach publicznych</t>
  </si>
  <si>
    <t>D.</t>
  </si>
  <si>
    <t>Pozostałe przychody</t>
  </si>
  <si>
    <t>E.</t>
  </si>
  <si>
    <t>Środki do dyspozycji gminy /A+B+C+D/</t>
  </si>
  <si>
    <t>F.</t>
  </si>
  <si>
    <t>WYDATKI  OGÓŁEM</t>
  </si>
  <si>
    <t>F.I</t>
  </si>
  <si>
    <t>wydatki bieżące</t>
  </si>
  <si>
    <t>F.II</t>
  </si>
  <si>
    <t>wydatki majątkowe</t>
  </si>
  <si>
    <t>F.III</t>
  </si>
  <si>
    <t>odsetki</t>
  </si>
  <si>
    <t>G.</t>
  </si>
  <si>
    <t>Spłata rat kredytów i pożyczek</t>
  </si>
  <si>
    <t>G.I</t>
  </si>
  <si>
    <t>w tym: kredytów i pozyczek zaciągniętych w związku z umową zawartą z podmiotem dysponującym środkami, o których mowa w art. 5 ust.3 ustawy o finansach publicznych</t>
  </si>
  <si>
    <t>H.</t>
  </si>
  <si>
    <t>Pozostałe rozchody</t>
  </si>
  <si>
    <t>I.</t>
  </si>
  <si>
    <t>RAZEM = /F+G+H/</t>
  </si>
  <si>
    <t xml:space="preserve">J. </t>
  </si>
  <si>
    <t>Środki pozostałe do wykorzystania w latach przyszłych</t>
  </si>
  <si>
    <t xml:space="preserve">K. </t>
  </si>
  <si>
    <t>umorzenia</t>
  </si>
  <si>
    <t>L.</t>
  </si>
  <si>
    <t>RAZEM = F.III+G-G.I+K</t>
  </si>
  <si>
    <t>Ł.</t>
  </si>
  <si>
    <t>Obciążenie dochodów obsługą długu (L/B * 100%)</t>
  </si>
  <si>
    <t xml:space="preserve">M. </t>
  </si>
  <si>
    <t xml:space="preserve">Zadłużenie </t>
  </si>
  <si>
    <t>M.I</t>
  </si>
  <si>
    <t>Zadłużenie dotycz.UE - M.I(z poprzedniego roku)+C.I-G.I</t>
  </si>
  <si>
    <t>N.</t>
  </si>
  <si>
    <t>Poziom zadłużenia w relacji do dochodów wyliczony zg.z u.o f.p. (M-M.I/B*100%)</t>
  </si>
  <si>
    <t>*  zwiększono dochody w pozycji - pozostałe dochody w 2008 r. - 7.076 tys., w 2009 r. - 10.785 tys., w 2010 r. - 10.785 tys., w 2011 r. - 10.784 tys. z tytułu zwrotu podatku VAT w ramach zadania inwestycyjnego pn.:,,Modernizacja i rozbudowa oczyszczalni ścieków w Piotrkowie Tryb.''</t>
  </si>
  <si>
    <t>** zmniejszono dochody w pozycji - udziały w dochodach państwa w 2008 r. - 5.000 tys. w związku ze zmianą ustawy o podatku od osób fizycznych - ulga na dzieci.</t>
  </si>
  <si>
    <t>do Uchwały  Nr  XV/232/07</t>
  </si>
  <si>
    <t>z dnia 24.10.2007r.</t>
  </si>
  <si>
    <t xml:space="preserve">Przygotował: Referat Budżetu i Analiz Finansowych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</si>
</sst>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9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SheetLayoutView="100" workbookViewId="0" topLeftCell="A1">
      <selection activeCell="F30" sqref="F30"/>
    </sheetView>
  </sheetViews>
  <sheetFormatPr defaultColWidth="9.140625" defaultRowHeight="12.75"/>
  <cols>
    <col min="1" max="1" width="5.140625" style="0" customWidth="1"/>
    <col min="2" max="2" width="40.7109375" style="0" customWidth="1"/>
    <col min="3" max="4" width="11.28125" style="0" customWidth="1"/>
    <col min="5" max="5" width="11.7109375" style="0" customWidth="1"/>
    <col min="6" max="7" width="11.140625" style="0" customWidth="1"/>
    <col min="8" max="8" width="11.57421875" style="0" customWidth="1"/>
    <col min="9" max="10" width="10.8515625" style="0" customWidth="1"/>
    <col min="11" max="12" width="11.28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9" t="s">
        <v>0</v>
      </c>
      <c r="K1" s="19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9" t="s">
        <v>78</v>
      </c>
      <c r="K2" s="19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  <c r="K3" s="2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9" t="s">
        <v>79</v>
      </c>
      <c r="K4" s="19"/>
      <c r="L4" s="1"/>
    </row>
    <row r="5" spans="1:12" ht="20.25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8">
      <c r="A6" s="17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4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4"/>
      <c r="L7" s="5"/>
    </row>
    <row r="8" spans="1:12" ht="25.5">
      <c r="A8" s="6" t="s">
        <v>4</v>
      </c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13</v>
      </c>
      <c r="K8" s="6" t="s">
        <v>14</v>
      </c>
      <c r="L8" s="6" t="s">
        <v>15</v>
      </c>
    </row>
    <row r="9" spans="1:12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ht="12.75">
      <c r="A10" s="7" t="s">
        <v>16</v>
      </c>
      <c r="B10" s="7" t="s">
        <v>17</v>
      </c>
      <c r="C10" s="8">
        <v>11579025</v>
      </c>
      <c r="D10" s="8">
        <f>C33</f>
        <v>14723726.889999986</v>
      </c>
      <c r="E10" s="8">
        <f>D33</f>
        <v>-0.11000001430511475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</row>
    <row r="11" spans="1:12" ht="12.75">
      <c r="A11" s="9" t="s">
        <v>18</v>
      </c>
      <c r="B11" s="9" t="s">
        <v>19</v>
      </c>
      <c r="C11" s="10">
        <f>C12+C17+C18+C19+C20</f>
        <v>221057921.89</v>
      </c>
      <c r="D11" s="10">
        <f>D12+D17+D18+D19+D20</f>
        <v>244647591</v>
      </c>
      <c r="E11" s="10">
        <f>E12+E17+E18+E19+E20</f>
        <v>263310063.24999997</v>
      </c>
      <c r="F11" s="10">
        <f aca="true" t="shared" si="0" ref="F11:L11">F12+F17+F18+F19+F20</f>
        <v>307919177.6492</v>
      </c>
      <c r="G11" s="10">
        <f t="shared" si="0"/>
        <v>324812984.848676</v>
      </c>
      <c r="H11" s="10">
        <f t="shared" si="0"/>
        <v>326819827.19413626</v>
      </c>
      <c r="I11" s="10">
        <f t="shared" si="0"/>
        <v>313472454.8999604</v>
      </c>
      <c r="J11" s="10">
        <f t="shared" si="0"/>
        <v>289593582.5569593</v>
      </c>
      <c r="K11" s="10">
        <f t="shared" si="0"/>
        <v>279858123.023668</v>
      </c>
      <c r="L11" s="10">
        <f t="shared" si="0"/>
        <v>288253866.714378</v>
      </c>
    </row>
    <row r="12" spans="1:12" ht="12.75">
      <c r="A12" s="7" t="s">
        <v>20</v>
      </c>
      <c r="B12" s="7" t="s">
        <v>21</v>
      </c>
      <c r="C12" s="8">
        <f>SUM(C13:C16)</f>
        <v>116117159</v>
      </c>
      <c r="D12" s="8">
        <f>SUM(D13:D16)</f>
        <v>121845712</v>
      </c>
      <c r="E12" s="8">
        <f aca="true" t="shared" si="1" ref="E12:L12">SUM(E13:E16)</f>
        <v>127277083.36</v>
      </c>
      <c r="F12" s="8">
        <f t="shared" si="1"/>
        <v>138661718.28250003</v>
      </c>
      <c r="G12" s="8">
        <f t="shared" si="1"/>
        <v>141998020.68097502</v>
      </c>
      <c r="H12" s="8">
        <f t="shared" si="1"/>
        <v>145933411.11140427</v>
      </c>
      <c r="I12" s="8">
        <f t="shared" si="1"/>
        <v>139203893.33474642</v>
      </c>
      <c r="J12" s="8">
        <f t="shared" si="1"/>
        <v>143380010.1347888</v>
      </c>
      <c r="K12" s="8">
        <f t="shared" si="1"/>
        <v>147681410.43883246</v>
      </c>
      <c r="L12" s="8">
        <f t="shared" si="1"/>
        <v>152111852.75199744</v>
      </c>
    </row>
    <row r="13" spans="1:12" ht="12.75">
      <c r="A13" s="7" t="s">
        <v>22</v>
      </c>
      <c r="B13" s="7" t="s">
        <v>23</v>
      </c>
      <c r="C13" s="8">
        <v>39117392</v>
      </c>
      <c r="D13" s="8">
        <f>28610000+7080660+1282100+65093+1000+961939-35000+20000</f>
        <v>37985792</v>
      </c>
      <c r="E13" s="8">
        <f>D13*103%+1000000</f>
        <v>40125365.76</v>
      </c>
      <c r="F13" s="8">
        <f aca="true" t="shared" si="2" ref="E13:L19">E13*103%</f>
        <v>41329126.7328</v>
      </c>
      <c r="G13" s="8">
        <f t="shared" si="2"/>
        <v>42569000.534784004</v>
      </c>
      <c r="H13" s="8">
        <f t="shared" si="2"/>
        <v>43846070.550827526</v>
      </c>
      <c r="I13" s="8">
        <f t="shared" si="2"/>
        <v>45161452.667352356</v>
      </c>
      <c r="J13" s="8">
        <f t="shared" si="2"/>
        <v>46516296.247372925</v>
      </c>
      <c r="K13" s="8">
        <f t="shared" si="2"/>
        <v>47911785.134794116</v>
      </c>
      <c r="L13" s="8">
        <f t="shared" si="2"/>
        <v>49349138.68883794</v>
      </c>
    </row>
    <row r="14" spans="1:12" ht="12.75">
      <c r="A14" s="7" t="s">
        <v>24</v>
      </c>
      <c r="B14" s="7" t="s">
        <v>25</v>
      </c>
      <c r="C14" s="8">
        <v>15739487</v>
      </c>
      <c r="D14" s="8">
        <f>11017638+14495+600000+272032+4370+50000</f>
        <v>11958535</v>
      </c>
      <c r="E14" s="8">
        <f>D14*103%-1300000</f>
        <v>11017291.05</v>
      </c>
      <c r="F14" s="8">
        <f t="shared" si="2"/>
        <v>11347809.7815</v>
      </c>
      <c r="G14" s="8">
        <f>F14*103%-500000</f>
        <v>11188244.074945001</v>
      </c>
      <c r="H14" s="8">
        <f t="shared" si="2"/>
        <v>11523891.397193352</v>
      </c>
      <c r="I14" s="8">
        <f t="shared" si="2"/>
        <v>11869608.139109153</v>
      </c>
      <c r="J14" s="8">
        <f t="shared" si="2"/>
        <v>12225696.383282429</v>
      </c>
      <c r="K14" s="8">
        <f t="shared" si="2"/>
        <v>12592467.274780901</v>
      </c>
      <c r="L14" s="8">
        <f t="shared" si="2"/>
        <v>12970241.293024328</v>
      </c>
    </row>
    <row r="15" spans="1:12" ht="12.75">
      <c r="A15" s="7" t="s">
        <v>26</v>
      </c>
      <c r="B15" s="7" t="s">
        <v>27</v>
      </c>
      <c r="C15" s="8">
        <v>51566537</v>
      </c>
      <c r="D15" s="8">
        <f>60479626+800000+112472</f>
        <v>61392098</v>
      </c>
      <c r="E15" s="8">
        <f>D15*103%-5000000</f>
        <v>58233860.940000005</v>
      </c>
      <c r="F15" s="8">
        <f t="shared" si="2"/>
        <v>59980876.76820001</v>
      </c>
      <c r="G15" s="8">
        <f t="shared" si="2"/>
        <v>61780303.07124601</v>
      </c>
      <c r="H15" s="8">
        <f t="shared" si="2"/>
        <v>63633712.163383394</v>
      </c>
      <c r="I15" s="8">
        <f t="shared" si="2"/>
        <v>65542723.5282849</v>
      </c>
      <c r="J15" s="8">
        <f t="shared" si="2"/>
        <v>67509005.23413345</v>
      </c>
      <c r="K15" s="8">
        <f t="shared" si="2"/>
        <v>69534275.39115746</v>
      </c>
      <c r="L15" s="8">
        <f t="shared" si="2"/>
        <v>71620303.65289219</v>
      </c>
    </row>
    <row r="16" spans="1:12" ht="12.75">
      <c r="A16" s="7" t="s">
        <v>28</v>
      </c>
      <c r="B16" s="7" t="s">
        <v>29</v>
      </c>
      <c r="C16" s="8">
        <v>9693743</v>
      </c>
      <c r="D16" s="8">
        <f>7089035+50550+2762634+451070+104871+26800-14843+15000+4170+20000</f>
        <v>10509287</v>
      </c>
      <c r="E16" s="8">
        <f>D16*103%+7076000</f>
        <v>17900565.61</v>
      </c>
      <c r="F16" s="8">
        <f>15218905+10785000</f>
        <v>26003905</v>
      </c>
      <c r="G16" s="8">
        <f>15675473+10785000</f>
        <v>26460473</v>
      </c>
      <c r="H16" s="8">
        <f>16145737+10784000</f>
        <v>26929737</v>
      </c>
      <c r="I16" s="8">
        <v>16630109</v>
      </c>
      <c r="J16" s="8">
        <f t="shared" si="2"/>
        <v>17129012.27</v>
      </c>
      <c r="K16" s="8">
        <f t="shared" si="2"/>
        <v>17642882.6381</v>
      </c>
      <c r="L16" s="8">
        <f t="shared" si="2"/>
        <v>18172169.117243</v>
      </c>
    </row>
    <row r="17" spans="1:12" ht="12.75">
      <c r="A17" s="7" t="s">
        <v>30</v>
      </c>
      <c r="B17" s="7" t="s">
        <v>31</v>
      </c>
      <c r="C17" s="8">
        <v>64372840</v>
      </c>
      <c r="D17" s="8">
        <v>66995476</v>
      </c>
      <c r="E17" s="8">
        <f t="shared" si="2"/>
        <v>69005340.28</v>
      </c>
      <c r="F17" s="8">
        <f t="shared" si="2"/>
        <v>71075500.4884</v>
      </c>
      <c r="G17" s="8">
        <f t="shared" si="2"/>
        <v>73207765.503052</v>
      </c>
      <c r="H17" s="8">
        <f t="shared" si="2"/>
        <v>75403998.46814355</v>
      </c>
      <c r="I17" s="8">
        <f t="shared" si="2"/>
        <v>77666118.42218786</v>
      </c>
      <c r="J17" s="8">
        <f t="shared" si="2"/>
        <v>79996101.9748535</v>
      </c>
      <c r="K17" s="8">
        <f t="shared" si="2"/>
        <v>82395985.0340991</v>
      </c>
      <c r="L17" s="8">
        <f t="shared" si="2"/>
        <v>84867864.58512208</v>
      </c>
    </row>
    <row r="18" spans="1:12" ht="12.75">
      <c r="A18" s="7" t="s">
        <v>32</v>
      </c>
      <c r="B18" s="7" t="s">
        <v>33</v>
      </c>
      <c r="C18" s="8">
        <v>27829433</v>
      </c>
      <c r="D18" s="8">
        <f>21994421+1673688+2457271+5972066-104000-3650+67000+80000+110926</f>
        <v>32247722</v>
      </c>
      <c r="E18" s="8">
        <f t="shared" si="2"/>
        <v>33215153.66</v>
      </c>
      <c r="F18" s="8">
        <f t="shared" si="2"/>
        <v>34211608.2698</v>
      </c>
      <c r="G18" s="8">
        <f t="shared" si="2"/>
        <v>35237956.517894</v>
      </c>
      <c r="H18" s="8">
        <f t="shared" si="2"/>
        <v>36295095.21343082</v>
      </c>
      <c r="I18" s="8">
        <f t="shared" si="2"/>
        <v>37383948.06983375</v>
      </c>
      <c r="J18" s="8">
        <f t="shared" si="2"/>
        <v>38505466.51192876</v>
      </c>
      <c r="K18" s="8">
        <f t="shared" si="2"/>
        <v>39660630.50728662</v>
      </c>
      <c r="L18" s="8">
        <f t="shared" si="2"/>
        <v>40850449.42250522</v>
      </c>
    </row>
    <row r="19" spans="1:12" ht="12.75">
      <c r="A19" s="7" t="s">
        <v>34</v>
      </c>
      <c r="B19" s="7" t="s">
        <v>35</v>
      </c>
      <c r="C19" s="8">
        <v>8331071</v>
      </c>
      <c r="D19" s="8">
        <f>1365907+6104184+9600+208310+50098+3591+479499+7376</f>
        <v>8228565</v>
      </c>
      <c r="E19" s="8">
        <f t="shared" si="2"/>
        <v>8475421.950000001</v>
      </c>
      <c r="F19" s="8">
        <f t="shared" si="2"/>
        <v>8729684.608500002</v>
      </c>
      <c r="G19" s="8">
        <f t="shared" si="2"/>
        <v>8991575.146755002</v>
      </c>
      <c r="H19" s="8">
        <f t="shared" si="2"/>
        <v>9261322.401157653</v>
      </c>
      <c r="I19" s="8">
        <f t="shared" si="2"/>
        <v>9539162.073192382</v>
      </c>
      <c r="J19" s="8">
        <f t="shared" si="2"/>
        <v>9825336.935388153</v>
      </c>
      <c r="K19" s="8">
        <f t="shared" si="2"/>
        <v>10120097.043449799</v>
      </c>
      <c r="L19" s="8">
        <f t="shared" si="2"/>
        <v>10423699.954753293</v>
      </c>
    </row>
    <row r="20" spans="1:12" ht="12.75">
      <c r="A20" s="7" t="s">
        <v>36</v>
      </c>
      <c r="B20" s="7" t="s">
        <v>37</v>
      </c>
      <c r="C20" s="8">
        <v>4407418.89</v>
      </c>
      <c r="D20" s="8">
        <f>15292250+37868-2</f>
        <v>15330116</v>
      </c>
      <c r="E20" s="8">
        <v>25337064</v>
      </c>
      <c r="F20" s="8">
        <v>55240666</v>
      </c>
      <c r="G20" s="8">
        <v>65377667</v>
      </c>
      <c r="H20" s="8">
        <v>59926000</v>
      </c>
      <c r="I20" s="8">
        <v>49679333</v>
      </c>
      <c r="J20" s="8">
        <v>17886667</v>
      </c>
      <c r="K20" s="8">
        <v>0</v>
      </c>
      <c r="L20" s="8">
        <v>0</v>
      </c>
    </row>
    <row r="21" spans="1:12" ht="12.75">
      <c r="A21" s="9" t="s">
        <v>38</v>
      </c>
      <c r="B21" s="9" t="s">
        <v>39</v>
      </c>
      <c r="C21" s="10">
        <f>35462589+3365500</f>
        <v>38828089</v>
      </c>
      <c r="D21" s="10">
        <f>33532067+482000-461000</f>
        <v>33553067</v>
      </c>
      <c r="E21" s="10">
        <v>103181063</v>
      </c>
      <c r="F21" s="10">
        <v>78491712</v>
      </c>
      <c r="G21" s="10">
        <v>57863171</v>
      </c>
      <c r="H21" s="10">
        <v>59612144</v>
      </c>
      <c r="I21" s="10">
        <v>5000105</v>
      </c>
      <c r="J21" s="10">
        <v>4458754</v>
      </c>
      <c r="K21" s="10">
        <v>11980784</v>
      </c>
      <c r="L21" s="10">
        <v>11605208</v>
      </c>
    </row>
    <row r="22" spans="1:12" ht="51.75" customHeight="1">
      <c r="A22" s="7" t="s">
        <v>40</v>
      </c>
      <c r="B22" s="11" t="s">
        <v>41</v>
      </c>
      <c r="C22" s="8">
        <f>4095752+7558969</f>
        <v>11654721</v>
      </c>
      <c r="D22" s="8">
        <v>6899612</v>
      </c>
      <c r="E22" s="8">
        <v>37021000</v>
      </c>
      <c r="F22" s="8">
        <v>39812000</v>
      </c>
      <c r="G22" s="8">
        <v>37012000</v>
      </c>
      <c r="H22" s="8">
        <v>34947000</v>
      </c>
      <c r="I22" s="8">
        <v>4650000</v>
      </c>
      <c r="J22" s="8">
        <v>0</v>
      </c>
      <c r="K22" s="8">
        <v>0</v>
      </c>
      <c r="L22" s="8">
        <v>0</v>
      </c>
    </row>
    <row r="23" spans="1:12" ht="12.75">
      <c r="A23" s="9" t="s">
        <v>42</v>
      </c>
      <c r="B23" s="9" t="s">
        <v>43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</row>
    <row r="24" spans="1:12" ht="12.75">
      <c r="A24" s="7" t="s">
        <v>44</v>
      </c>
      <c r="B24" s="7" t="s">
        <v>45</v>
      </c>
      <c r="C24" s="8">
        <f>C10+C11+C21+C23</f>
        <v>271465035.89</v>
      </c>
      <c r="D24" s="8">
        <f aca="true" t="shared" si="3" ref="D24:L24">D10+D11+D21+D23</f>
        <v>292924384.89</v>
      </c>
      <c r="E24" s="8">
        <f t="shared" si="3"/>
        <v>366491126.14</v>
      </c>
      <c r="F24" s="8">
        <f t="shared" si="3"/>
        <v>386410889.6492</v>
      </c>
      <c r="G24" s="8">
        <f t="shared" si="3"/>
        <v>382676155.848676</v>
      </c>
      <c r="H24" s="8">
        <f t="shared" si="3"/>
        <v>386431971.19413626</v>
      </c>
      <c r="I24" s="8">
        <f t="shared" si="3"/>
        <v>318472559.8999604</v>
      </c>
      <c r="J24" s="8">
        <f t="shared" si="3"/>
        <v>294052336.5569593</v>
      </c>
      <c r="K24" s="8">
        <f t="shared" si="3"/>
        <v>291838907.023668</v>
      </c>
      <c r="L24" s="8">
        <f t="shared" si="3"/>
        <v>299859074.714378</v>
      </c>
    </row>
    <row r="25" spans="1:12" ht="12.75">
      <c r="A25" s="9" t="s">
        <v>46</v>
      </c>
      <c r="B25" s="9" t="s">
        <v>47</v>
      </c>
      <c r="C25" s="10">
        <f>SUM(C26:C28)</f>
        <v>242927357</v>
      </c>
      <c r="D25" s="10">
        <f>SUM(D26:D28)</f>
        <v>278073449</v>
      </c>
      <c r="E25" s="10">
        <f aca="true" t="shared" si="4" ref="E25:L25">SUM(E26:E28)</f>
        <v>336491125.88</v>
      </c>
      <c r="F25" s="10">
        <f t="shared" si="4"/>
        <v>356410889.65639997</v>
      </c>
      <c r="G25" s="10">
        <f t="shared" si="4"/>
        <v>352676156.346092</v>
      </c>
      <c r="H25" s="10">
        <f t="shared" si="4"/>
        <v>356431971.0364748</v>
      </c>
      <c r="I25" s="10">
        <f t="shared" si="4"/>
        <v>298472560.16756904</v>
      </c>
      <c r="J25" s="10">
        <f t="shared" si="4"/>
        <v>284052336.9725961</v>
      </c>
      <c r="K25" s="10">
        <f t="shared" si="4"/>
        <v>281838907.081774</v>
      </c>
      <c r="L25" s="10">
        <f t="shared" si="4"/>
        <v>289859074.29422724</v>
      </c>
    </row>
    <row r="26" spans="1:12" ht="12.75">
      <c r="A26" s="7" t="s">
        <v>48</v>
      </c>
      <c r="B26" s="7" t="s">
        <v>49</v>
      </c>
      <c r="C26" s="8">
        <f>198196643-2057510</f>
        <v>196139133</v>
      </c>
      <c r="D26" s="8">
        <f>220652694-3400000+118302</f>
        <v>217370996</v>
      </c>
      <c r="E26" s="8">
        <f>D26*103%</f>
        <v>223892125.88</v>
      </c>
      <c r="F26" s="8">
        <f aca="true" t="shared" si="5" ref="F26:L26">E26*103%</f>
        <v>230608889.6564</v>
      </c>
      <c r="G26" s="8">
        <f t="shared" si="5"/>
        <v>237527156.34609202</v>
      </c>
      <c r="H26" s="8">
        <f t="shared" si="5"/>
        <v>244652971.0364748</v>
      </c>
      <c r="I26" s="8">
        <f t="shared" si="5"/>
        <v>251992560.16756904</v>
      </c>
      <c r="J26" s="8">
        <f t="shared" si="5"/>
        <v>259552336.9725961</v>
      </c>
      <c r="K26" s="8">
        <f t="shared" si="5"/>
        <v>267338907.081774</v>
      </c>
      <c r="L26" s="8">
        <f t="shared" si="5"/>
        <v>275359074.29422724</v>
      </c>
    </row>
    <row r="27" spans="1:12" ht="12.75">
      <c r="A27" s="7" t="s">
        <v>50</v>
      </c>
      <c r="B27" s="7" t="s">
        <v>51</v>
      </c>
      <c r="C27" s="8">
        <v>44730714</v>
      </c>
      <c r="D27" s="8">
        <v>57302453</v>
      </c>
      <c r="E27" s="8">
        <v>106999000</v>
      </c>
      <c r="F27" s="8">
        <v>115802000</v>
      </c>
      <c r="G27" s="8">
        <v>105149000</v>
      </c>
      <c r="H27" s="8">
        <v>100779000</v>
      </c>
      <c r="I27" s="8">
        <f>4650000+26830000+5000000</f>
        <v>36480000</v>
      </c>
      <c r="J27" s="8">
        <v>15000000</v>
      </c>
      <c r="K27" s="8">
        <v>5000000</v>
      </c>
      <c r="L27" s="8">
        <v>5000000</v>
      </c>
    </row>
    <row r="28" spans="1:12" ht="12.75">
      <c r="A28" s="7" t="s">
        <v>52</v>
      </c>
      <c r="B28" s="7" t="s">
        <v>53</v>
      </c>
      <c r="C28" s="8">
        <v>2057510</v>
      </c>
      <c r="D28" s="8">
        <v>3400000</v>
      </c>
      <c r="E28" s="8">
        <v>5600000</v>
      </c>
      <c r="F28" s="8">
        <v>10000000</v>
      </c>
      <c r="G28" s="8">
        <v>10000000</v>
      </c>
      <c r="H28" s="8">
        <v>11000000</v>
      </c>
      <c r="I28" s="8">
        <v>10000000</v>
      </c>
      <c r="J28" s="8">
        <v>9500000</v>
      </c>
      <c r="K28" s="8">
        <v>9500000</v>
      </c>
      <c r="L28" s="8">
        <v>9500000</v>
      </c>
    </row>
    <row r="29" spans="1:12" ht="12.75">
      <c r="A29" s="9" t="s">
        <v>54</v>
      </c>
      <c r="B29" s="9" t="s">
        <v>55</v>
      </c>
      <c r="C29" s="10">
        <v>13813952</v>
      </c>
      <c r="D29" s="10">
        <v>14850936</v>
      </c>
      <c r="E29" s="10">
        <v>30000000</v>
      </c>
      <c r="F29" s="10">
        <v>30000000</v>
      </c>
      <c r="G29" s="10">
        <v>30000000</v>
      </c>
      <c r="H29" s="10">
        <v>30000000</v>
      </c>
      <c r="I29" s="10">
        <v>20000000</v>
      </c>
      <c r="J29" s="10">
        <v>10000000</v>
      </c>
      <c r="K29" s="10">
        <v>10000000</v>
      </c>
      <c r="L29" s="10">
        <v>10000000</v>
      </c>
    </row>
    <row r="30" spans="1:12" ht="52.5" customHeight="1">
      <c r="A30" s="7" t="s">
        <v>56</v>
      </c>
      <c r="B30" s="11" t="s">
        <v>57</v>
      </c>
      <c r="C30" s="8">
        <v>380567</v>
      </c>
      <c r="D30" s="8">
        <v>2595757</v>
      </c>
      <c r="E30" s="8">
        <v>10000000</v>
      </c>
      <c r="F30" s="8">
        <v>10000000</v>
      </c>
      <c r="G30" s="8">
        <v>10000000</v>
      </c>
      <c r="H30" s="8">
        <v>10000000</v>
      </c>
      <c r="I30" s="8">
        <v>10000000</v>
      </c>
      <c r="J30" s="8">
        <v>5000000</v>
      </c>
      <c r="K30" s="8">
        <v>5000000</v>
      </c>
      <c r="L30" s="8">
        <v>5000000</v>
      </c>
    </row>
    <row r="31" spans="1:12" ht="12.75">
      <c r="A31" s="9" t="s">
        <v>58</v>
      </c>
      <c r="B31" s="9" t="s">
        <v>59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</row>
    <row r="32" spans="1:12" ht="12.75">
      <c r="A32" s="7" t="s">
        <v>60</v>
      </c>
      <c r="B32" s="7" t="s">
        <v>61</v>
      </c>
      <c r="C32" s="8">
        <f>C25+C29+C31</f>
        <v>256741309</v>
      </c>
      <c r="D32" s="8">
        <f aca="true" t="shared" si="6" ref="D32:L32">D25+D29+D31</f>
        <v>292924385</v>
      </c>
      <c r="E32" s="8">
        <f t="shared" si="6"/>
        <v>366491125.88</v>
      </c>
      <c r="F32" s="8">
        <f t="shared" si="6"/>
        <v>386410889.65639997</v>
      </c>
      <c r="G32" s="8">
        <f t="shared" si="6"/>
        <v>382676156.346092</v>
      </c>
      <c r="H32" s="8">
        <f t="shared" si="6"/>
        <v>386431971.0364748</v>
      </c>
      <c r="I32" s="8">
        <f t="shared" si="6"/>
        <v>318472560.16756904</v>
      </c>
      <c r="J32" s="8">
        <f t="shared" si="6"/>
        <v>294052336.9725961</v>
      </c>
      <c r="K32" s="8">
        <f t="shared" si="6"/>
        <v>291838907.081774</v>
      </c>
      <c r="L32" s="8">
        <f t="shared" si="6"/>
        <v>299859074.29422724</v>
      </c>
    </row>
    <row r="33" spans="1:12" ht="33.75" customHeight="1">
      <c r="A33" s="7" t="s">
        <v>62</v>
      </c>
      <c r="B33" s="12" t="s">
        <v>63</v>
      </c>
      <c r="C33" s="8">
        <f>C24-C32</f>
        <v>14723726.889999986</v>
      </c>
      <c r="D33" s="8">
        <f aca="true" t="shared" si="7" ref="D33:L33">D24-D32</f>
        <v>-0.11000001430511475</v>
      </c>
      <c r="E33" s="8">
        <f t="shared" si="7"/>
        <v>0.25999999046325684</v>
      </c>
      <c r="F33" s="8">
        <f t="shared" si="7"/>
        <v>-0.0071999430656433105</v>
      </c>
      <c r="G33" s="8">
        <f t="shared" si="7"/>
        <v>-0.4974159598350525</v>
      </c>
      <c r="H33" s="8">
        <f t="shared" si="7"/>
        <v>0.15766143798828125</v>
      </c>
      <c r="I33" s="8">
        <f t="shared" si="7"/>
        <v>-0.267608642578125</v>
      </c>
      <c r="J33" s="8">
        <f t="shared" si="7"/>
        <v>-0.4156368374824524</v>
      </c>
      <c r="K33" s="8">
        <f t="shared" si="7"/>
        <v>-0.05810600519180298</v>
      </c>
      <c r="L33" s="8">
        <f t="shared" si="7"/>
        <v>0.4201507568359375</v>
      </c>
    </row>
    <row r="34" spans="1:12" ht="12.75">
      <c r="A34" s="7" t="s">
        <v>64</v>
      </c>
      <c r="B34" s="7" t="s">
        <v>65</v>
      </c>
      <c r="C34" s="8">
        <v>227150</v>
      </c>
      <c r="D34" s="8">
        <f>91350+402853</f>
        <v>494203</v>
      </c>
      <c r="E34" s="8">
        <v>400000</v>
      </c>
      <c r="F34" s="8">
        <v>400000</v>
      </c>
      <c r="G34" s="8">
        <v>400000</v>
      </c>
      <c r="H34" s="8">
        <v>500000</v>
      </c>
      <c r="I34" s="8">
        <v>500000</v>
      </c>
      <c r="J34" s="8">
        <v>600000</v>
      </c>
      <c r="K34" s="8">
        <v>600000</v>
      </c>
      <c r="L34" s="8">
        <v>600000</v>
      </c>
    </row>
    <row r="35" spans="1:12" ht="12.75">
      <c r="A35" s="7" t="s">
        <v>66</v>
      </c>
      <c r="B35" s="7" t="s">
        <v>67</v>
      </c>
      <c r="C35" s="8">
        <f>C28+C29-C30+C34</f>
        <v>15718045</v>
      </c>
      <c r="D35" s="8">
        <f>D28+D29-D30+D34</f>
        <v>16149382</v>
      </c>
      <c r="E35" s="8">
        <f aca="true" t="shared" si="8" ref="E35:L35">E28+E29-E30+E34</f>
        <v>26000000</v>
      </c>
      <c r="F35" s="8">
        <f t="shared" si="8"/>
        <v>30400000</v>
      </c>
      <c r="G35" s="8">
        <f t="shared" si="8"/>
        <v>30400000</v>
      </c>
      <c r="H35" s="8">
        <f t="shared" si="8"/>
        <v>31500000</v>
      </c>
      <c r="I35" s="8">
        <f t="shared" si="8"/>
        <v>20500000</v>
      </c>
      <c r="J35" s="8">
        <f t="shared" si="8"/>
        <v>15100000</v>
      </c>
      <c r="K35" s="8">
        <f t="shared" si="8"/>
        <v>15100000</v>
      </c>
      <c r="L35" s="8">
        <f t="shared" si="8"/>
        <v>15100000</v>
      </c>
    </row>
    <row r="36" spans="1:12" ht="12.75">
      <c r="A36" s="9" t="s">
        <v>68</v>
      </c>
      <c r="B36" s="13" t="s">
        <v>69</v>
      </c>
      <c r="C36" s="14">
        <f>C35/C11*100</f>
        <v>7.1103739986397825</v>
      </c>
      <c r="D36" s="14">
        <f>D35/D11*100</f>
        <v>6.601079509505572</v>
      </c>
      <c r="E36" s="14">
        <f aca="true" t="shared" si="9" ref="E36:L36">E35/E11*100</f>
        <v>9.874290286928487</v>
      </c>
      <c r="F36" s="14">
        <f t="shared" si="9"/>
        <v>9.872720573004875</v>
      </c>
      <c r="G36" s="14">
        <f t="shared" si="9"/>
        <v>9.35923174812816</v>
      </c>
      <c r="H36" s="14">
        <f t="shared" si="9"/>
        <v>9.63833812361956</v>
      </c>
      <c r="I36" s="14">
        <f t="shared" si="9"/>
        <v>6.539649554389791</v>
      </c>
      <c r="J36" s="14">
        <f t="shared" si="9"/>
        <v>5.214203942875712</v>
      </c>
      <c r="K36" s="14">
        <f t="shared" si="9"/>
        <v>5.395591107685293</v>
      </c>
      <c r="L36" s="14">
        <f t="shared" si="9"/>
        <v>5.238437968626499</v>
      </c>
    </row>
    <row r="37" spans="1:12" ht="12.75">
      <c r="A37" s="9" t="s">
        <v>70</v>
      </c>
      <c r="B37" s="9" t="s">
        <v>71</v>
      </c>
      <c r="C37" s="10">
        <f>50363070+C21-C29-C34</f>
        <v>75150057</v>
      </c>
      <c r="D37" s="10">
        <f>C37+D21-D29-D34</f>
        <v>93357985</v>
      </c>
      <c r="E37" s="10">
        <f aca="true" t="shared" si="10" ref="E37:L37">D37+E21-E29-E34</f>
        <v>166139048</v>
      </c>
      <c r="F37" s="10">
        <f t="shared" si="10"/>
        <v>214230760</v>
      </c>
      <c r="G37" s="10">
        <f t="shared" si="10"/>
        <v>241693931</v>
      </c>
      <c r="H37" s="10">
        <f t="shared" si="10"/>
        <v>270806075</v>
      </c>
      <c r="I37" s="10">
        <f t="shared" si="10"/>
        <v>255306180</v>
      </c>
      <c r="J37" s="10">
        <f t="shared" si="10"/>
        <v>249164934</v>
      </c>
      <c r="K37" s="10">
        <f t="shared" si="10"/>
        <v>250545718</v>
      </c>
      <c r="L37" s="10">
        <f t="shared" si="10"/>
        <v>251550926</v>
      </c>
    </row>
    <row r="38" spans="1:12" ht="26.25" customHeight="1">
      <c r="A38" s="7" t="s">
        <v>72</v>
      </c>
      <c r="B38" s="11" t="s">
        <v>73</v>
      </c>
      <c r="C38" s="8">
        <f>1640153+C22-C30</f>
        <v>12914307</v>
      </c>
      <c r="D38" s="8">
        <f>C38+D22-D30</f>
        <v>17218162</v>
      </c>
      <c r="E38" s="8">
        <f aca="true" t="shared" si="11" ref="E38:L38">D38+E22-E30</f>
        <v>44239162</v>
      </c>
      <c r="F38" s="8">
        <f t="shared" si="11"/>
        <v>74051162</v>
      </c>
      <c r="G38" s="8">
        <f t="shared" si="11"/>
        <v>101063162</v>
      </c>
      <c r="H38" s="8">
        <f t="shared" si="11"/>
        <v>126010162</v>
      </c>
      <c r="I38" s="8">
        <f t="shared" si="11"/>
        <v>120660162</v>
      </c>
      <c r="J38" s="8">
        <f t="shared" si="11"/>
        <v>115660162</v>
      </c>
      <c r="K38" s="8">
        <f t="shared" si="11"/>
        <v>110660162</v>
      </c>
      <c r="L38" s="8">
        <f t="shared" si="11"/>
        <v>105660162</v>
      </c>
    </row>
    <row r="39" spans="1:12" ht="36.75" customHeight="1">
      <c r="A39" s="9" t="s">
        <v>74</v>
      </c>
      <c r="B39" s="15" t="s">
        <v>75</v>
      </c>
      <c r="C39" s="14">
        <f aca="true" t="shared" si="12" ref="C39:L39">(C37-C38)/C11*100</f>
        <v>28.153594075207565</v>
      </c>
      <c r="D39" s="14">
        <f t="shared" si="12"/>
        <v>31.12224513994908</v>
      </c>
      <c r="E39" s="14">
        <f t="shared" si="12"/>
        <v>46.295186934903455</v>
      </c>
      <c r="F39" s="14">
        <f t="shared" si="12"/>
        <v>45.524802667439246</v>
      </c>
      <c r="G39" s="14">
        <f t="shared" si="12"/>
        <v>43.295919670673605</v>
      </c>
      <c r="H39" s="14">
        <f t="shared" si="12"/>
        <v>44.30450693372067</v>
      </c>
      <c r="I39" s="14">
        <f t="shared" si="12"/>
        <v>42.95306202995414</v>
      </c>
      <c r="J39" s="14">
        <f t="shared" si="12"/>
        <v>46.10073566590218</v>
      </c>
      <c r="K39" s="14">
        <f t="shared" si="12"/>
        <v>49.984454440212794</v>
      </c>
      <c r="L39" s="14">
        <f t="shared" si="12"/>
        <v>50.61190181520053</v>
      </c>
    </row>
    <row r="40" spans="1:12" ht="5.25" customHeight="1">
      <c r="A40" s="1"/>
      <c r="B40" s="1"/>
      <c r="C40" s="1"/>
      <c r="D40" s="1"/>
      <c r="E40" s="16"/>
      <c r="F40" s="1"/>
      <c r="G40" s="1"/>
      <c r="H40" s="1"/>
      <c r="I40" s="1"/>
      <c r="J40" s="1"/>
      <c r="K40" s="1"/>
      <c r="L40" s="1"/>
    </row>
    <row r="41" spans="1:12" ht="12.75">
      <c r="A41" s="18" t="s">
        <v>76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2.75">
      <c r="A42" s="1" t="s">
        <v>77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7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 t="s">
        <v>80</v>
      </c>
      <c r="C44" s="1"/>
      <c r="D44" s="1"/>
      <c r="E44" s="1"/>
      <c r="F44" s="1"/>
      <c r="G44" s="1"/>
      <c r="H44" s="1"/>
      <c r="I44" s="1"/>
      <c r="J44" s="1"/>
      <c r="K44" s="1"/>
      <c r="L44" s="1"/>
    </row>
  </sheetData>
  <mergeCells count="6">
    <mergeCell ref="A6:L6"/>
    <mergeCell ref="A41:L41"/>
    <mergeCell ref="J1:K1"/>
    <mergeCell ref="J2:K2"/>
    <mergeCell ref="J4:K4"/>
    <mergeCell ref="A5:L5"/>
  </mergeCells>
  <printOptions/>
  <pageMargins left="0.28" right="0.75" top="0.26" bottom="0.31" header="0.17" footer="0.1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Szymanska_K</dc:creator>
  <cp:keywords/>
  <dc:description/>
  <cp:lastModifiedBy>4-0467</cp:lastModifiedBy>
  <cp:lastPrinted>2007-10-11T11:39:21Z</cp:lastPrinted>
  <dcterms:created xsi:type="dcterms:W3CDTF">2007-10-11T11:33:15Z</dcterms:created>
  <dcterms:modified xsi:type="dcterms:W3CDTF">2007-10-26T06:38:05Z</dcterms:modified>
  <cp:category/>
  <cp:version/>
  <cp:contentType/>
  <cp:contentStatus/>
</cp:coreProperties>
</file>