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do programu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<sst xmlns="http://schemas.openxmlformats.org/spreadsheetml/2006/main" count="76" uniqueCount="76">
  <si>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Lp.</t>
  </si>
  <si>
    <t>WYSZCZEGÓLNIENIE</t>
  </si>
  <si>
    <t>A.</t>
  </si>
  <si>
    <t xml:space="preserve">Środki niewykorzystane w latach ubiegłych </t>
  </si>
  <si>
    <t>B.</t>
  </si>
  <si>
    <t>B.I</t>
  </si>
  <si>
    <t>Dochody własne</t>
  </si>
  <si>
    <t>1.</t>
  </si>
  <si>
    <t xml:space="preserve">z podatków i opłat </t>
  </si>
  <si>
    <t>z udziałów w dochodach państwa</t>
  </si>
  <si>
    <t>pozostałe dochody</t>
  </si>
  <si>
    <t>B.II</t>
  </si>
  <si>
    <t>Subwencje</t>
  </si>
  <si>
    <t>B.III</t>
  </si>
  <si>
    <t>Dotacje na zadania zlecone i powierzone</t>
  </si>
  <si>
    <t>B.IV</t>
  </si>
  <si>
    <t>Dotacje na zadania własne</t>
  </si>
  <si>
    <t>B.V</t>
  </si>
  <si>
    <t>Środki pochodzące z Unii Europejskiej</t>
  </si>
  <si>
    <t>C.</t>
  </si>
  <si>
    <t>Zaciągnięte kredyty i pożyczki</t>
  </si>
  <si>
    <t>C.I</t>
  </si>
  <si>
    <t>D.</t>
  </si>
  <si>
    <t>Pozostałe przychody</t>
  </si>
  <si>
    <t>E.</t>
  </si>
  <si>
    <t>F.</t>
  </si>
  <si>
    <t>F.I</t>
  </si>
  <si>
    <t>wydatki bieżące</t>
  </si>
  <si>
    <t>F.II</t>
  </si>
  <si>
    <t>F.III</t>
  </si>
  <si>
    <t>odsetki</t>
  </si>
  <si>
    <t>G.</t>
  </si>
  <si>
    <t>G.I</t>
  </si>
  <si>
    <t>Spłata rat kredytów i pożyczek</t>
  </si>
  <si>
    <t>H.</t>
  </si>
  <si>
    <t>I.</t>
  </si>
  <si>
    <t>RAZEM = /F+G+H/</t>
  </si>
  <si>
    <t xml:space="preserve">J. </t>
  </si>
  <si>
    <t>Środki pozostałe do wykorzystania w latach przyszłych</t>
  </si>
  <si>
    <t xml:space="preserve">K. </t>
  </si>
  <si>
    <t>L.</t>
  </si>
  <si>
    <t>Ł.</t>
  </si>
  <si>
    <t xml:space="preserve">M. </t>
  </si>
  <si>
    <t xml:space="preserve">Zadłużenie </t>
  </si>
  <si>
    <t>M.I</t>
  </si>
  <si>
    <t>N.</t>
  </si>
  <si>
    <t>WYDATKI  OGÓŁEM</t>
  </si>
  <si>
    <t>DOCHODY OGÓŁEM</t>
  </si>
  <si>
    <t>Pozostałe rozchody</t>
  </si>
  <si>
    <t>Środki do dyspozycji gminy /A+B+C+D/</t>
  </si>
  <si>
    <t>ze sprzedaży mienia</t>
  </si>
  <si>
    <t>wydatki majątkowe</t>
  </si>
  <si>
    <t>Prognoza 2008</t>
  </si>
  <si>
    <t>Prognoza 2009</t>
  </si>
  <si>
    <t>Prognoza 2010</t>
  </si>
  <si>
    <t>Prognoza 2011</t>
  </si>
  <si>
    <t>Prognoza 2012</t>
  </si>
  <si>
    <t>Prognoza 2013</t>
  </si>
  <si>
    <t>Prognoza 2014</t>
  </si>
  <si>
    <t>Prognoza 2015</t>
  </si>
  <si>
    <t xml:space="preserve">P R O G N O Z A    F I N A N S O W A </t>
  </si>
  <si>
    <t>Plan 2007</t>
  </si>
  <si>
    <t>O</t>
  </si>
  <si>
    <t>Prognoza 2016</t>
  </si>
  <si>
    <t>Prognoza 2017</t>
  </si>
  <si>
    <t>w tym: zaciągnięte w związku z umową zawartą z podmiotem dysponującym środkami , o których mowa w art. 5 ust.3 ustawy o finansach publicznych</t>
  </si>
  <si>
    <t>Wykonanie 2006</t>
  </si>
  <si>
    <t>umorzenia</t>
  </si>
  <si>
    <t>w tym: kredytów i pozyczek zaciągniętych w związku z umową zawartą z podmiotem dysponującym środkami, o których mowa w art. 5 ust.3 ustawy o finansach publicznych</t>
  </si>
  <si>
    <t xml:space="preserve">Miasta Piotrkowa Trybunalskiego dla Wieloletniego Programu Inwestycyjnego </t>
  </si>
  <si>
    <t>Obciążenie dochodów obsługą długu (L/B * 100%)</t>
  </si>
  <si>
    <t>Poziom zadłużenia w relacji do dochodów wyliczony zg.z u.o f.p. (M-M.I/B*100%)</t>
  </si>
  <si>
    <t>Poziom zadłużenia do dochodów ogółem (M/B*100%)</t>
  </si>
  <si>
    <t>RAZEM = F.III+G-G.I</t>
  </si>
  <si>
    <t>Zadłużenie dotycz.UE - M.I(z poprzedniego roku)+C.I-G.I</t>
  </si>
  <si>
    <t>Sporządzono na dzień  19.03.2007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</si>
</sst>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1" xfId="0" applyFont="1" applyBorder="1" applyAlignment="1">
      <alignment wrapText="1"/>
    </xf>
    <xf numFmtId="3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view="pageBreakPreview" zoomScaleSheetLayoutView="100" workbookViewId="0" topLeftCell="A1">
      <selection activeCell="B35" sqref="B35"/>
    </sheetView>
  </sheetViews>
  <sheetFormatPr defaultColWidth="9.140625" defaultRowHeight="12.75"/>
  <cols>
    <col min="1" max="1" width="4.140625" style="2" customWidth="1"/>
    <col min="2" max="2" width="38.140625" style="2" customWidth="1"/>
    <col min="3" max="3" width="10.8515625" style="2" customWidth="1"/>
    <col min="4" max="4" width="11.140625" style="2" customWidth="1"/>
    <col min="5" max="6" width="11.00390625" style="2" customWidth="1"/>
    <col min="7" max="7" width="10.8515625" style="2" customWidth="1"/>
    <col min="8" max="8" width="11.00390625" style="2" customWidth="1"/>
    <col min="9" max="9" width="10.8515625" style="2" customWidth="1"/>
    <col min="10" max="10" width="11.00390625" style="2" customWidth="1"/>
    <col min="11" max="11" width="10.8515625" style="2" customWidth="1"/>
    <col min="12" max="14" width="11.00390625" style="2" customWidth="1"/>
    <col min="15" max="15" width="13.00390625" style="2" customWidth="1"/>
    <col min="16" max="16384" width="9.140625" style="2" customWidth="1"/>
  </cols>
  <sheetData>
    <row r="1" spans="1:14" ht="12" customHeight="1">
      <c r="A1" s="32" t="s">
        <v>60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1"/>
      <c r="N1" s="11"/>
    </row>
    <row r="2" spans="1:15" ht="14.25" customHeight="1">
      <c r="A2" s="33" t="s">
        <v>69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9"/>
      <c r="N2" s="10"/>
      <c r="O2" s="10"/>
    </row>
    <row r="3" spans="1:15" s="27" customFormat="1" ht="9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6"/>
      <c r="N3" s="26"/>
      <c r="O3" s="26"/>
    </row>
    <row r="4" spans="1:14" s="3" customFormat="1" ht="24" customHeight="1">
      <c r="A4" s="1" t="s">
        <v>0</v>
      </c>
      <c r="B4" s="1" t="s">
        <v>1</v>
      </c>
      <c r="C4" s="1" t="s">
        <v>66</v>
      </c>
      <c r="D4" s="1" t="s">
        <v>61</v>
      </c>
      <c r="E4" s="1" t="s">
        <v>52</v>
      </c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  <c r="K4" s="1" t="s">
        <v>58</v>
      </c>
      <c r="L4" s="1" t="s">
        <v>59</v>
      </c>
      <c r="M4" s="1" t="s">
        <v>63</v>
      </c>
      <c r="N4" s="1" t="s">
        <v>64</v>
      </c>
    </row>
    <row r="5" spans="1:14" s="3" customFormat="1" ht="12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  <c r="N5" s="1">
        <v>14</v>
      </c>
    </row>
    <row r="6" spans="1:14" s="13" customFormat="1" ht="12.75">
      <c r="A6" s="12" t="s">
        <v>2</v>
      </c>
      <c r="B6" s="12" t="s">
        <v>3</v>
      </c>
      <c r="C6" s="5">
        <v>11579025</v>
      </c>
      <c r="D6" s="5">
        <f>C29</f>
        <v>14723727.889999986</v>
      </c>
      <c r="E6" s="5">
        <f>D29</f>
        <v>-0.11000001430511475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9" s="15" customFormat="1" ht="15" customHeight="1">
      <c r="A7" s="14" t="s">
        <v>4</v>
      </c>
      <c r="B7" s="14" t="s">
        <v>47</v>
      </c>
      <c r="C7" s="6">
        <f>C8+C13+C14+C15+C16</f>
        <v>221057921.89</v>
      </c>
      <c r="D7" s="6">
        <f>D8+D13+D14+D15+D16</f>
        <v>235840839</v>
      </c>
      <c r="E7" s="6">
        <f>E8+E13+E14+E15+E16</f>
        <v>270270624.67</v>
      </c>
      <c r="F7" s="6">
        <f aca="true" t="shared" si="0" ref="F7:S7">F8+F13+F14+F15+F16</f>
        <v>304943665.07009995</v>
      </c>
      <c r="G7" s="6">
        <f t="shared" si="0"/>
        <v>310589461.012203</v>
      </c>
      <c r="H7" s="6">
        <f t="shared" si="0"/>
        <v>276385561.8525691</v>
      </c>
      <c r="I7" s="6">
        <f t="shared" si="0"/>
        <v>263308825.70814624</v>
      </c>
      <c r="J7" s="6">
        <f t="shared" si="0"/>
        <v>262452403.46939057</v>
      </c>
      <c r="K7" s="6">
        <f t="shared" si="0"/>
        <v>270325975.5734723</v>
      </c>
      <c r="L7" s="6">
        <f t="shared" si="0"/>
        <v>278435754.8406765</v>
      </c>
      <c r="M7" s="6">
        <f t="shared" si="0"/>
        <v>286788827.48589677</v>
      </c>
      <c r="N7" s="6">
        <f>N8+N13+N14+N15+N16</f>
        <v>295392492.31047374</v>
      </c>
      <c r="O7" s="6">
        <f t="shared" si="0"/>
        <v>286788827.48589677</v>
      </c>
      <c r="P7" s="6">
        <f t="shared" si="0"/>
        <v>295392492.31047374</v>
      </c>
      <c r="Q7" s="6">
        <f t="shared" si="0"/>
        <v>304254267.0797879</v>
      </c>
      <c r="R7" s="6">
        <f t="shared" si="0"/>
        <v>313381895.09218156</v>
      </c>
      <c r="S7" s="6">
        <f t="shared" si="0"/>
        <v>322783351.944947</v>
      </c>
    </row>
    <row r="8" spans="1:19" s="17" customFormat="1" ht="12.75">
      <c r="A8" s="16" t="s">
        <v>5</v>
      </c>
      <c r="B8" s="16" t="s">
        <v>6</v>
      </c>
      <c r="C8" s="7">
        <f>SUM(C9:C12)</f>
        <v>116117159</v>
      </c>
      <c r="D8" s="7">
        <f>SUM(D9:D12)</f>
        <v>120180510</v>
      </c>
      <c r="E8" s="7">
        <f aca="true" t="shared" si="1" ref="E8:S8">SUM(E9:E12)</f>
        <v>123485925.30000001</v>
      </c>
      <c r="F8" s="7">
        <f t="shared" si="1"/>
        <v>127190503.059</v>
      </c>
      <c r="G8" s="7">
        <f t="shared" si="1"/>
        <v>130506218.15077001</v>
      </c>
      <c r="H8" s="7">
        <f t="shared" si="1"/>
        <v>134421404.69529313</v>
      </c>
      <c r="I8" s="7">
        <f t="shared" si="1"/>
        <v>138454046.83615193</v>
      </c>
      <c r="J8" s="7">
        <f t="shared" si="1"/>
        <v>142607668.24123648</v>
      </c>
      <c r="K8" s="7">
        <f t="shared" si="1"/>
        <v>146885898.28847358</v>
      </c>
      <c r="L8" s="7">
        <f t="shared" si="1"/>
        <v>151292475.23712778</v>
      </c>
      <c r="M8" s="7">
        <f t="shared" si="1"/>
        <v>155831249.49424163</v>
      </c>
      <c r="N8" s="7">
        <f>SUM(N9:N12)</f>
        <v>160506186.97906888</v>
      </c>
      <c r="O8" s="7">
        <f t="shared" si="1"/>
        <v>155831249.49424163</v>
      </c>
      <c r="P8" s="7">
        <f t="shared" si="1"/>
        <v>160506186.97906888</v>
      </c>
      <c r="Q8" s="7">
        <f t="shared" si="1"/>
        <v>165321372.58844092</v>
      </c>
      <c r="R8" s="7">
        <f t="shared" si="1"/>
        <v>170281013.76609418</v>
      </c>
      <c r="S8" s="7">
        <f t="shared" si="1"/>
        <v>175389444.17907703</v>
      </c>
    </row>
    <row r="9" spans="1:19" s="17" customFormat="1" ht="12.75">
      <c r="A9" s="16" t="s">
        <v>7</v>
      </c>
      <c r="B9" s="16" t="s">
        <v>8</v>
      </c>
      <c r="C9" s="7">
        <v>39117392</v>
      </c>
      <c r="D9" s="7">
        <f>36270300+50825</f>
        <v>36321125</v>
      </c>
      <c r="E9" s="7">
        <f>D9*103%+1000000</f>
        <v>38410758.75</v>
      </c>
      <c r="F9" s="7">
        <f aca="true" t="shared" si="2" ref="E9:S15">E9*103%</f>
        <v>39563081.5125</v>
      </c>
      <c r="G9" s="7">
        <f t="shared" si="2"/>
        <v>40749973.957875006</v>
      </c>
      <c r="H9" s="7">
        <f t="shared" si="2"/>
        <v>41972473.17661126</v>
      </c>
      <c r="I9" s="7">
        <f t="shared" si="2"/>
        <v>43231647.371909596</v>
      </c>
      <c r="J9" s="7">
        <f t="shared" si="2"/>
        <v>44528596.79306688</v>
      </c>
      <c r="K9" s="7">
        <f t="shared" si="2"/>
        <v>45864454.69685889</v>
      </c>
      <c r="L9" s="7">
        <f t="shared" si="2"/>
        <v>47240388.33776466</v>
      </c>
      <c r="M9" s="7">
        <f t="shared" si="2"/>
        <v>48657599.9878976</v>
      </c>
      <c r="N9" s="7">
        <f t="shared" si="2"/>
        <v>50117327.98753452</v>
      </c>
      <c r="O9" s="7">
        <f aca="true" t="shared" si="3" ref="O9:O15">L9*103%</f>
        <v>48657599.9878976</v>
      </c>
      <c r="P9" s="7">
        <f t="shared" si="2"/>
        <v>50117327.98753452</v>
      </c>
      <c r="Q9" s="7">
        <f t="shared" si="2"/>
        <v>51620847.82716056</v>
      </c>
      <c r="R9" s="7">
        <f t="shared" si="2"/>
        <v>53169473.26197538</v>
      </c>
      <c r="S9" s="7">
        <f t="shared" si="2"/>
        <v>54764557.45983464</v>
      </c>
    </row>
    <row r="10" spans="1:19" s="17" customFormat="1" ht="12.75">
      <c r="A10" s="16"/>
      <c r="B10" s="16" t="s">
        <v>50</v>
      </c>
      <c r="C10" s="7">
        <v>15739487</v>
      </c>
      <c r="D10" s="7">
        <f>10956270+2699</f>
        <v>10958969</v>
      </c>
      <c r="E10" s="7">
        <f>D10*103%-1300000</f>
        <v>9987738.07</v>
      </c>
      <c r="F10" s="7">
        <f t="shared" si="2"/>
        <v>10287370.212100001</v>
      </c>
      <c r="G10" s="7">
        <f>F10*103%-500000</f>
        <v>10095991.318463001</v>
      </c>
      <c r="H10" s="7">
        <f t="shared" si="2"/>
        <v>10398871.058016893</v>
      </c>
      <c r="I10" s="7">
        <f t="shared" si="2"/>
        <v>10710837.1897574</v>
      </c>
      <c r="J10" s="7">
        <f t="shared" si="2"/>
        <v>11032162.305450121</v>
      </c>
      <c r="K10" s="7">
        <f t="shared" si="2"/>
        <v>11363127.174613625</v>
      </c>
      <c r="L10" s="7">
        <f t="shared" si="2"/>
        <v>11704020.989852034</v>
      </c>
      <c r="M10" s="7">
        <f t="shared" si="2"/>
        <v>12055141.619547594</v>
      </c>
      <c r="N10" s="7">
        <f t="shared" si="2"/>
        <v>12416795.868134022</v>
      </c>
      <c r="O10" s="7">
        <f t="shared" si="3"/>
        <v>12055141.619547594</v>
      </c>
      <c r="P10" s="7">
        <f t="shared" si="2"/>
        <v>12416795.868134022</v>
      </c>
      <c r="Q10" s="7">
        <f t="shared" si="2"/>
        <v>12789299.744178042</v>
      </c>
      <c r="R10" s="7">
        <f t="shared" si="2"/>
        <v>13172978.736503383</v>
      </c>
      <c r="S10" s="7">
        <f t="shared" si="2"/>
        <v>13568168.098598486</v>
      </c>
    </row>
    <row r="11" spans="1:19" s="17" customFormat="1" ht="12.75">
      <c r="A11" s="16"/>
      <c r="B11" s="16" t="s">
        <v>9</v>
      </c>
      <c r="C11" s="7">
        <v>51566537</v>
      </c>
      <c r="D11" s="7">
        <v>58555138</v>
      </c>
      <c r="E11" s="7">
        <f t="shared" si="2"/>
        <v>60311792.14</v>
      </c>
      <c r="F11" s="7">
        <f t="shared" si="2"/>
        <v>62121145.9042</v>
      </c>
      <c r="G11" s="7">
        <f t="shared" si="2"/>
        <v>63984780.281326</v>
      </c>
      <c r="H11" s="7">
        <f t="shared" si="2"/>
        <v>65904323.68976579</v>
      </c>
      <c r="I11" s="7">
        <f t="shared" si="2"/>
        <v>67881453.40045877</v>
      </c>
      <c r="J11" s="7">
        <f t="shared" si="2"/>
        <v>69917897.00247253</v>
      </c>
      <c r="K11" s="7">
        <f t="shared" si="2"/>
        <v>72015433.91254671</v>
      </c>
      <c r="L11" s="7">
        <f t="shared" si="2"/>
        <v>74175896.92992312</v>
      </c>
      <c r="M11" s="7">
        <f t="shared" si="2"/>
        <v>76401173.83782081</v>
      </c>
      <c r="N11" s="7">
        <f t="shared" si="2"/>
        <v>78693209.05295543</v>
      </c>
      <c r="O11" s="7">
        <f t="shared" si="3"/>
        <v>76401173.83782081</v>
      </c>
      <c r="P11" s="7">
        <f t="shared" si="2"/>
        <v>78693209.05295543</v>
      </c>
      <c r="Q11" s="7">
        <f t="shared" si="2"/>
        <v>81054005.3245441</v>
      </c>
      <c r="R11" s="7">
        <f t="shared" si="2"/>
        <v>83485625.48428042</v>
      </c>
      <c r="S11" s="7">
        <f t="shared" si="2"/>
        <v>85990194.24880883</v>
      </c>
    </row>
    <row r="12" spans="1:19" s="17" customFormat="1" ht="12.75">
      <c r="A12" s="16"/>
      <c r="B12" s="16" t="s">
        <v>10</v>
      </c>
      <c r="C12" s="7">
        <v>9693743</v>
      </c>
      <c r="D12" s="7">
        <f>14331858+18282-13282+8420</f>
        <v>14345278</v>
      </c>
      <c r="E12" s="7">
        <f t="shared" si="2"/>
        <v>14775636.34</v>
      </c>
      <c r="F12" s="7">
        <f t="shared" si="2"/>
        <v>15218905.4302</v>
      </c>
      <c r="G12" s="7">
        <f t="shared" si="2"/>
        <v>15675472.593106</v>
      </c>
      <c r="H12" s="7">
        <f t="shared" si="2"/>
        <v>16145736.77089918</v>
      </c>
      <c r="I12" s="7">
        <f t="shared" si="2"/>
        <v>16630108.874026157</v>
      </c>
      <c r="J12" s="7">
        <f t="shared" si="2"/>
        <v>17129012.140246943</v>
      </c>
      <c r="K12" s="7">
        <f t="shared" si="2"/>
        <v>17642882.504454352</v>
      </c>
      <c r="L12" s="7">
        <f t="shared" si="2"/>
        <v>18172168.979587983</v>
      </c>
      <c r="M12" s="7">
        <f t="shared" si="2"/>
        <v>18717334.048975624</v>
      </c>
      <c r="N12" s="7">
        <f t="shared" si="2"/>
        <v>19278854.070444893</v>
      </c>
      <c r="O12" s="7">
        <f t="shared" si="3"/>
        <v>18717334.048975624</v>
      </c>
      <c r="P12" s="7">
        <f t="shared" si="2"/>
        <v>19278854.070444893</v>
      </c>
      <c r="Q12" s="7">
        <f t="shared" si="2"/>
        <v>19857219.69255824</v>
      </c>
      <c r="R12" s="7">
        <f t="shared" si="2"/>
        <v>20452936.28333499</v>
      </c>
      <c r="S12" s="7">
        <f t="shared" si="2"/>
        <v>21066524.371835038</v>
      </c>
    </row>
    <row r="13" spans="1:19" s="17" customFormat="1" ht="12.75">
      <c r="A13" s="16" t="s">
        <v>11</v>
      </c>
      <c r="B13" s="16" t="s">
        <v>12</v>
      </c>
      <c r="C13" s="7">
        <v>64372840</v>
      </c>
      <c r="D13" s="7">
        <f>64020619+1008458+315213</f>
        <v>65344290</v>
      </c>
      <c r="E13" s="7">
        <f t="shared" si="2"/>
        <v>67304618.7</v>
      </c>
      <c r="F13" s="7">
        <f t="shared" si="2"/>
        <v>69323757.261</v>
      </c>
      <c r="G13" s="7">
        <f t="shared" si="2"/>
        <v>71403469.97883001</v>
      </c>
      <c r="H13" s="7">
        <f t="shared" si="2"/>
        <v>73545574.07819492</v>
      </c>
      <c r="I13" s="7">
        <f t="shared" si="2"/>
        <v>75751941.30054076</v>
      </c>
      <c r="J13" s="7">
        <f t="shared" si="2"/>
        <v>78024499.53955698</v>
      </c>
      <c r="K13" s="7">
        <f t="shared" si="2"/>
        <v>80365234.5257437</v>
      </c>
      <c r="L13" s="7">
        <f t="shared" si="2"/>
        <v>82776191.561516</v>
      </c>
      <c r="M13" s="7">
        <f t="shared" si="2"/>
        <v>85259477.30836149</v>
      </c>
      <c r="N13" s="7">
        <f t="shared" si="2"/>
        <v>87817261.62761234</v>
      </c>
      <c r="O13" s="7">
        <f t="shared" si="3"/>
        <v>85259477.30836149</v>
      </c>
      <c r="P13" s="7">
        <f t="shared" si="2"/>
        <v>87817261.62761234</v>
      </c>
      <c r="Q13" s="7">
        <f t="shared" si="2"/>
        <v>90451779.47644071</v>
      </c>
      <c r="R13" s="7">
        <f t="shared" si="2"/>
        <v>93165332.86073394</v>
      </c>
      <c r="S13" s="7">
        <f t="shared" si="2"/>
        <v>95960292.84655596</v>
      </c>
    </row>
    <row r="14" spans="1:19" s="17" customFormat="1" ht="12.75">
      <c r="A14" s="16" t="s">
        <v>13</v>
      </c>
      <c r="B14" s="16" t="s">
        <v>14</v>
      </c>
      <c r="C14" s="7">
        <v>27829433</v>
      </c>
      <c r="D14" s="7">
        <f>30725657-1565331+2352-1020+672548</f>
        <v>29834206</v>
      </c>
      <c r="E14" s="7">
        <f t="shared" si="2"/>
        <v>30729232.18</v>
      </c>
      <c r="F14" s="7">
        <f t="shared" si="2"/>
        <v>31651109.1454</v>
      </c>
      <c r="G14" s="7">
        <f t="shared" si="2"/>
        <v>32600642.419762</v>
      </c>
      <c r="H14" s="7">
        <f t="shared" si="2"/>
        <v>33578661.69235486</v>
      </c>
      <c r="I14" s="7">
        <f t="shared" si="2"/>
        <v>34586021.5431255</v>
      </c>
      <c r="J14" s="7">
        <f t="shared" si="2"/>
        <v>35623602.18941927</v>
      </c>
      <c r="K14" s="7">
        <f t="shared" si="2"/>
        <v>36692310.25510185</v>
      </c>
      <c r="L14" s="7">
        <f t="shared" si="2"/>
        <v>37793079.56275491</v>
      </c>
      <c r="M14" s="7">
        <f t="shared" si="2"/>
        <v>38926871.949637555</v>
      </c>
      <c r="N14" s="7">
        <f t="shared" si="2"/>
        <v>40094678.108126685</v>
      </c>
      <c r="O14" s="7">
        <f t="shared" si="3"/>
        <v>38926871.949637555</v>
      </c>
      <c r="P14" s="7">
        <f t="shared" si="2"/>
        <v>40094678.108126685</v>
      </c>
      <c r="Q14" s="7">
        <f t="shared" si="2"/>
        <v>41297518.451370485</v>
      </c>
      <c r="R14" s="7">
        <f t="shared" si="2"/>
        <v>42536444.0049116</v>
      </c>
      <c r="S14" s="7">
        <f t="shared" si="2"/>
        <v>43812537.32505895</v>
      </c>
    </row>
    <row r="15" spans="1:19" s="17" customFormat="1" ht="12.75">
      <c r="A15" s="16" t="s">
        <v>15</v>
      </c>
      <c r="B15" s="16" t="s">
        <v>16</v>
      </c>
      <c r="C15" s="7">
        <v>8331071</v>
      </c>
      <c r="D15" s="7">
        <f>4312510+872834+4239</f>
        <v>5189583</v>
      </c>
      <c r="E15" s="7">
        <f t="shared" si="2"/>
        <v>5345270.49</v>
      </c>
      <c r="F15" s="7">
        <f t="shared" si="2"/>
        <v>5505628.6047</v>
      </c>
      <c r="G15" s="7">
        <f t="shared" si="2"/>
        <v>5670797.462841</v>
      </c>
      <c r="H15" s="7">
        <f t="shared" si="2"/>
        <v>5840921.38672623</v>
      </c>
      <c r="I15" s="7">
        <f t="shared" si="2"/>
        <v>6016149.028328017</v>
      </c>
      <c r="J15" s="7">
        <f t="shared" si="2"/>
        <v>6196633.499177858</v>
      </c>
      <c r="K15" s="7">
        <f t="shared" si="2"/>
        <v>6382532.504153194</v>
      </c>
      <c r="L15" s="7">
        <f t="shared" si="2"/>
        <v>6574008.47927779</v>
      </c>
      <c r="M15" s="7">
        <f t="shared" si="2"/>
        <v>6771228.733656123</v>
      </c>
      <c r="N15" s="7">
        <f t="shared" si="2"/>
        <v>6974365.595665807</v>
      </c>
      <c r="O15" s="7">
        <f t="shared" si="3"/>
        <v>6771228.733656123</v>
      </c>
      <c r="P15" s="7">
        <f t="shared" si="2"/>
        <v>6974365.595665807</v>
      </c>
      <c r="Q15" s="7">
        <f t="shared" si="2"/>
        <v>7183596.563535782</v>
      </c>
      <c r="R15" s="7">
        <f t="shared" si="2"/>
        <v>7399104.460441855</v>
      </c>
      <c r="S15" s="7">
        <f t="shared" si="2"/>
        <v>7621077.59425511</v>
      </c>
    </row>
    <row r="16" spans="1:14" s="17" customFormat="1" ht="12.75">
      <c r="A16" s="16" t="s">
        <v>17</v>
      </c>
      <c r="B16" s="16" t="s">
        <v>18</v>
      </c>
      <c r="C16" s="7">
        <v>4407418.89</v>
      </c>
      <c r="D16" s="7">
        <v>15292250</v>
      </c>
      <c r="E16" s="7">
        <v>43405578</v>
      </c>
      <c r="F16" s="7">
        <v>71272667</v>
      </c>
      <c r="G16" s="7">
        <v>70408333</v>
      </c>
      <c r="H16" s="7">
        <v>28999000</v>
      </c>
      <c r="I16" s="7">
        <v>8500667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</row>
    <row r="17" spans="1:15" s="15" customFormat="1" ht="12.75">
      <c r="A17" s="14" t="s">
        <v>19</v>
      </c>
      <c r="B17" s="14" t="s">
        <v>20</v>
      </c>
      <c r="C17" s="6">
        <f>35462589+3365500</f>
        <v>38828089</v>
      </c>
      <c r="D17" s="6">
        <f>30636938+2181200+1200000</f>
        <v>34018138</v>
      </c>
      <c r="E17" s="6">
        <v>86580428</v>
      </c>
      <c r="F17" s="6">
        <v>78680929</v>
      </c>
      <c r="G17" s="6">
        <v>63847491</v>
      </c>
      <c r="H17" s="6">
        <v>21706558</v>
      </c>
      <c r="I17" s="6">
        <v>25069448</v>
      </c>
      <c r="J17" s="6">
        <v>19027368</v>
      </c>
      <c r="K17" s="6">
        <v>17875190</v>
      </c>
      <c r="L17" s="6">
        <v>16018445</v>
      </c>
      <c r="M17" s="6">
        <v>14456999</v>
      </c>
      <c r="N17" s="6">
        <v>14290709</v>
      </c>
      <c r="O17" s="18">
        <f>SUM(C17:L17)</f>
        <v>401652084</v>
      </c>
    </row>
    <row r="18" spans="1:15" s="17" customFormat="1" ht="38.25" customHeight="1">
      <c r="A18" s="16" t="s">
        <v>21</v>
      </c>
      <c r="B18" s="19" t="s">
        <v>65</v>
      </c>
      <c r="C18" s="7">
        <v>11532439.45</v>
      </c>
      <c r="D18" s="7">
        <v>7729612</v>
      </c>
      <c r="E18" s="7">
        <v>26196000</v>
      </c>
      <c r="F18" s="7">
        <v>34731000</v>
      </c>
      <c r="G18" s="7">
        <v>29393000</v>
      </c>
      <c r="H18" s="7">
        <v>2091000</v>
      </c>
      <c r="I18" s="7">
        <v>1442000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20">
        <f>SUM(C18:G18)</f>
        <v>109582051.45</v>
      </c>
    </row>
    <row r="19" spans="1:14" s="15" customFormat="1" ht="12.75">
      <c r="A19" s="14" t="s">
        <v>22</v>
      </c>
      <c r="B19" s="14" t="s">
        <v>23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</row>
    <row r="20" spans="1:14" s="17" customFormat="1" ht="12.75">
      <c r="A20" s="16" t="s">
        <v>24</v>
      </c>
      <c r="B20" s="16" t="s">
        <v>49</v>
      </c>
      <c r="C20" s="7">
        <f aca="true" t="shared" si="4" ref="C20:N20">C6+C7+C17+C19</f>
        <v>271465035.89</v>
      </c>
      <c r="D20" s="7">
        <f t="shared" si="4"/>
        <v>284582704.89</v>
      </c>
      <c r="E20" s="7">
        <f t="shared" si="4"/>
        <v>356851052.56</v>
      </c>
      <c r="F20" s="7">
        <f t="shared" si="4"/>
        <v>383624594.07009995</v>
      </c>
      <c r="G20" s="7">
        <f t="shared" si="4"/>
        <v>374436952.012203</v>
      </c>
      <c r="H20" s="7">
        <f t="shared" si="4"/>
        <v>298092119.8525691</v>
      </c>
      <c r="I20" s="7">
        <f t="shared" si="4"/>
        <v>288378273.7081462</v>
      </c>
      <c r="J20" s="7">
        <f t="shared" si="4"/>
        <v>281479771.4693906</v>
      </c>
      <c r="K20" s="7">
        <f t="shared" si="4"/>
        <v>288201165.5734723</v>
      </c>
      <c r="L20" s="7">
        <f t="shared" si="4"/>
        <v>294454199.8406765</v>
      </c>
      <c r="M20" s="7">
        <f t="shared" si="4"/>
        <v>301245826.48589677</v>
      </c>
      <c r="N20" s="7">
        <f t="shared" si="4"/>
        <v>309683201.31047374</v>
      </c>
    </row>
    <row r="21" spans="1:14" s="15" customFormat="1" ht="15" customHeight="1">
      <c r="A21" s="14" t="s">
        <v>25</v>
      </c>
      <c r="B21" s="14" t="s">
        <v>46</v>
      </c>
      <c r="C21" s="6">
        <f>SUM(C22:C24)</f>
        <v>242927356</v>
      </c>
      <c r="D21" s="6">
        <f>SUM(D22:D24)</f>
        <v>269309677</v>
      </c>
      <c r="E21" s="6">
        <f aca="true" t="shared" si="5" ref="E21:L21">SUM(E22:E24)</f>
        <v>326851052.21000004</v>
      </c>
      <c r="F21" s="6">
        <f t="shared" si="5"/>
        <v>353624593.7763</v>
      </c>
      <c r="G21" s="6">
        <f t="shared" si="5"/>
        <v>344436951.589589</v>
      </c>
      <c r="H21" s="6">
        <f t="shared" si="5"/>
        <v>268092120.1372767</v>
      </c>
      <c r="I21" s="6">
        <f t="shared" si="5"/>
        <v>268378273.74139503</v>
      </c>
      <c r="J21" s="6">
        <f t="shared" si="5"/>
        <v>271479771.9536369</v>
      </c>
      <c r="K21" s="6">
        <f t="shared" si="5"/>
        <v>278201165.11224604</v>
      </c>
      <c r="L21" s="6">
        <f t="shared" si="5"/>
        <v>284454200.0656134</v>
      </c>
      <c r="M21" s="6">
        <f>SUM(M22:M24)</f>
        <v>291245826.0675818</v>
      </c>
      <c r="N21" s="6">
        <f>SUM(N22:N24)</f>
        <v>299683200.84960926</v>
      </c>
    </row>
    <row r="22" spans="1:14" s="17" customFormat="1" ht="12.75">
      <c r="A22" s="16" t="s">
        <v>26</v>
      </c>
      <c r="B22" s="16" t="s">
        <v>27</v>
      </c>
      <c r="C22" s="7">
        <f>198196642-2057510</f>
        <v>196139132</v>
      </c>
      <c r="D22" s="7">
        <f>219681507-4130000</f>
        <v>215551507</v>
      </c>
      <c r="E22" s="7">
        <f>D22*103%</f>
        <v>222018052.21</v>
      </c>
      <c r="F22" s="7">
        <f aca="true" t="shared" si="6" ref="F22:L22">E22*103%</f>
        <v>228678593.7763</v>
      </c>
      <c r="G22" s="7">
        <f t="shared" si="6"/>
        <v>235538951.58958903</v>
      </c>
      <c r="H22" s="7">
        <f t="shared" si="6"/>
        <v>242605120.1372767</v>
      </c>
      <c r="I22" s="7">
        <f t="shared" si="6"/>
        <v>249883273.74139503</v>
      </c>
      <c r="J22" s="7">
        <f t="shared" si="6"/>
        <v>257379771.95363688</v>
      </c>
      <c r="K22" s="7">
        <f t="shared" si="6"/>
        <v>265101165.112246</v>
      </c>
      <c r="L22" s="7">
        <f t="shared" si="6"/>
        <v>273054200.0656134</v>
      </c>
      <c r="M22" s="7">
        <f>L22*103%</f>
        <v>281245826.0675818</v>
      </c>
      <c r="N22" s="7">
        <f>M22*103%</f>
        <v>289683200.84960926</v>
      </c>
    </row>
    <row r="23" spans="1:14" s="17" customFormat="1" ht="12.75">
      <c r="A23" s="16" t="s">
        <v>28</v>
      </c>
      <c r="B23" s="16" t="s">
        <v>51</v>
      </c>
      <c r="C23" s="7">
        <v>44730714</v>
      </c>
      <c r="D23" s="7">
        <f>48428170+1200000</f>
        <v>49628170</v>
      </c>
      <c r="E23" s="7">
        <v>99533000</v>
      </c>
      <c r="F23" s="7">
        <v>117246000</v>
      </c>
      <c r="G23" s="7">
        <v>100498000</v>
      </c>
      <c r="H23" s="7">
        <v>15787000</v>
      </c>
      <c r="I23" s="7">
        <v>9095000</v>
      </c>
      <c r="J23" s="7">
        <v>5000000</v>
      </c>
      <c r="K23" s="7">
        <v>4000000</v>
      </c>
      <c r="L23" s="7">
        <v>2000000</v>
      </c>
      <c r="M23" s="7">
        <v>0</v>
      </c>
      <c r="N23" s="7">
        <v>0</v>
      </c>
    </row>
    <row r="24" spans="1:14" s="17" customFormat="1" ht="12.75">
      <c r="A24" s="16" t="s">
        <v>29</v>
      </c>
      <c r="B24" s="16" t="s">
        <v>30</v>
      </c>
      <c r="C24" s="7">
        <v>2057510</v>
      </c>
      <c r="D24" s="7">
        <v>4130000</v>
      </c>
      <c r="E24" s="7">
        <v>5300000</v>
      </c>
      <c r="F24" s="7">
        <v>7700000</v>
      </c>
      <c r="G24" s="7">
        <v>8400000</v>
      </c>
      <c r="H24" s="7">
        <v>9700000</v>
      </c>
      <c r="I24" s="7">
        <v>9400000</v>
      </c>
      <c r="J24" s="7">
        <v>9100000</v>
      </c>
      <c r="K24" s="7">
        <v>9100000</v>
      </c>
      <c r="L24" s="7">
        <v>9400000</v>
      </c>
      <c r="M24" s="7">
        <v>10000000</v>
      </c>
      <c r="N24" s="7">
        <v>10000000</v>
      </c>
    </row>
    <row r="25" spans="1:15" s="15" customFormat="1" ht="12.75">
      <c r="A25" s="14" t="s">
        <v>31</v>
      </c>
      <c r="B25" s="14" t="s">
        <v>33</v>
      </c>
      <c r="C25" s="6">
        <v>13813952</v>
      </c>
      <c r="D25" s="6">
        <v>15273028</v>
      </c>
      <c r="E25" s="6">
        <v>30000000</v>
      </c>
      <c r="F25" s="6">
        <v>30000000</v>
      </c>
      <c r="G25" s="6">
        <v>30000000</v>
      </c>
      <c r="H25" s="6">
        <v>30000000</v>
      </c>
      <c r="I25" s="6">
        <v>20000000</v>
      </c>
      <c r="J25" s="6">
        <v>10000000</v>
      </c>
      <c r="K25" s="6">
        <v>10000000</v>
      </c>
      <c r="L25" s="6">
        <v>10000000</v>
      </c>
      <c r="M25" s="6">
        <v>10000000</v>
      </c>
      <c r="N25" s="6">
        <v>10000000</v>
      </c>
      <c r="O25" s="18">
        <f>SUM(C25:L25)</f>
        <v>199086980</v>
      </c>
    </row>
    <row r="26" spans="1:15" s="17" customFormat="1" ht="49.5" customHeight="1">
      <c r="A26" s="16" t="s">
        <v>32</v>
      </c>
      <c r="B26" s="19" t="s">
        <v>68</v>
      </c>
      <c r="C26" s="7">
        <v>1244663.54</v>
      </c>
      <c r="D26" s="7">
        <v>2239420</v>
      </c>
      <c r="E26" s="7">
        <v>5000000</v>
      </c>
      <c r="F26" s="7">
        <v>5000000</v>
      </c>
      <c r="G26" s="7">
        <v>3000000</v>
      </c>
      <c r="H26" s="7">
        <v>3000000</v>
      </c>
      <c r="I26" s="7">
        <v>3000000</v>
      </c>
      <c r="J26" s="7">
        <v>2000000</v>
      </c>
      <c r="K26" s="7">
        <v>2000000</v>
      </c>
      <c r="L26" s="7">
        <v>2000000</v>
      </c>
      <c r="M26" s="7">
        <v>2000000</v>
      </c>
      <c r="N26" s="7">
        <v>2000000</v>
      </c>
      <c r="O26" s="20">
        <f>SUM(C26:L26)</f>
        <v>28484083.54</v>
      </c>
    </row>
    <row r="27" spans="1:14" s="15" customFormat="1" ht="12.75">
      <c r="A27" s="14" t="s">
        <v>34</v>
      </c>
      <c r="B27" s="14" t="s">
        <v>48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</row>
    <row r="28" spans="1:15" s="17" customFormat="1" ht="12.75">
      <c r="A28" s="16" t="s">
        <v>35</v>
      </c>
      <c r="B28" s="16" t="s">
        <v>36</v>
      </c>
      <c r="C28" s="7">
        <f aca="true" t="shared" si="7" ref="C28:N28">C21+C25+C27</f>
        <v>256741308</v>
      </c>
      <c r="D28" s="7">
        <f t="shared" si="7"/>
        <v>284582705</v>
      </c>
      <c r="E28" s="7">
        <f t="shared" si="7"/>
        <v>356851052.21000004</v>
      </c>
      <c r="F28" s="7">
        <f t="shared" si="7"/>
        <v>383624593.7763</v>
      </c>
      <c r="G28" s="7">
        <f t="shared" si="7"/>
        <v>374436951.589589</v>
      </c>
      <c r="H28" s="7">
        <f t="shared" si="7"/>
        <v>298092120.1372767</v>
      </c>
      <c r="I28" s="7">
        <f t="shared" si="7"/>
        <v>288378273.741395</v>
      </c>
      <c r="J28" s="7">
        <f t="shared" si="7"/>
        <v>281479771.9536369</v>
      </c>
      <c r="K28" s="7">
        <f t="shared" si="7"/>
        <v>288201165.11224604</v>
      </c>
      <c r="L28" s="7">
        <f t="shared" si="7"/>
        <v>294454200.0656134</v>
      </c>
      <c r="M28" s="7">
        <f t="shared" si="7"/>
        <v>301245826.0675818</v>
      </c>
      <c r="N28" s="7">
        <f t="shared" si="7"/>
        <v>309683200.84960926</v>
      </c>
      <c r="O28" s="20">
        <f>O18-O26</f>
        <v>81097967.91</v>
      </c>
    </row>
    <row r="29" spans="1:15" s="17" customFormat="1" ht="12.75" customHeight="1">
      <c r="A29" s="16" t="s">
        <v>37</v>
      </c>
      <c r="B29" s="21" t="s">
        <v>38</v>
      </c>
      <c r="C29" s="7">
        <f aca="true" t="shared" si="8" ref="C29:N29">C20-C28</f>
        <v>14723727.889999986</v>
      </c>
      <c r="D29" s="7">
        <f t="shared" si="8"/>
        <v>-0.11000001430511475</v>
      </c>
      <c r="E29" s="7">
        <f t="shared" si="8"/>
        <v>0.34999996423721313</v>
      </c>
      <c r="F29" s="7">
        <f t="shared" si="8"/>
        <v>0.2937999367713928</v>
      </c>
      <c r="G29" s="7">
        <f t="shared" si="8"/>
        <v>0.4226139783859253</v>
      </c>
      <c r="H29" s="7">
        <f t="shared" si="8"/>
        <v>-0.28470760583877563</v>
      </c>
      <c r="I29" s="7">
        <f t="shared" si="8"/>
        <v>-0.03324878215789795</v>
      </c>
      <c r="J29" s="7">
        <f t="shared" si="8"/>
        <v>-0.48424631357192993</v>
      </c>
      <c r="K29" s="7">
        <f t="shared" si="8"/>
        <v>0.46122628450393677</v>
      </c>
      <c r="L29" s="7">
        <f t="shared" si="8"/>
        <v>-0.22493690252304077</v>
      </c>
      <c r="M29" s="7">
        <f t="shared" si="8"/>
        <v>0.41831499338150024</v>
      </c>
      <c r="N29" s="7">
        <f t="shared" si="8"/>
        <v>0.46086448431015015</v>
      </c>
      <c r="O29" s="20"/>
    </row>
    <row r="30" spans="1:14" s="17" customFormat="1" ht="12.75">
      <c r="A30" s="16" t="s">
        <v>39</v>
      </c>
      <c r="B30" s="16" t="s">
        <v>67</v>
      </c>
      <c r="C30" s="7">
        <v>227150</v>
      </c>
      <c r="D30" s="7">
        <v>91350</v>
      </c>
      <c r="E30" s="7">
        <v>100000</v>
      </c>
      <c r="F30" s="7">
        <v>200000</v>
      </c>
      <c r="G30" s="7">
        <v>300000</v>
      </c>
      <c r="H30" s="7">
        <v>400000</v>
      </c>
      <c r="I30" s="7">
        <v>500000</v>
      </c>
      <c r="J30" s="7">
        <v>500000</v>
      </c>
      <c r="K30" s="7">
        <v>500000</v>
      </c>
      <c r="L30" s="7">
        <v>500000</v>
      </c>
      <c r="M30" s="7">
        <v>500000</v>
      </c>
      <c r="N30" s="7">
        <v>0</v>
      </c>
    </row>
    <row r="31" spans="1:14" s="17" customFormat="1" ht="12.75">
      <c r="A31" s="16" t="s">
        <v>40</v>
      </c>
      <c r="B31" s="16" t="s">
        <v>73</v>
      </c>
      <c r="C31" s="7">
        <f>C24+C25-C26</f>
        <v>14626798.46</v>
      </c>
      <c r="D31" s="7">
        <f>D24+D25-D26+D30</f>
        <v>17254958</v>
      </c>
      <c r="E31" s="7">
        <f aca="true" t="shared" si="9" ref="E31:N31">E24+E25-E26+E30</f>
        <v>30400000</v>
      </c>
      <c r="F31" s="7">
        <f t="shared" si="9"/>
        <v>32900000</v>
      </c>
      <c r="G31" s="7">
        <f t="shared" si="9"/>
        <v>35700000</v>
      </c>
      <c r="H31" s="7">
        <f t="shared" si="9"/>
        <v>37100000</v>
      </c>
      <c r="I31" s="7">
        <f t="shared" si="9"/>
        <v>26900000</v>
      </c>
      <c r="J31" s="7">
        <f t="shared" si="9"/>
        <v>17600000</v>
      </c>
      <c r="K31" s="7">
        <f t="shared" si="9"/>
        <v>17600000</v>
      </c>
      <c r="L31" s="7">
        <f t="shared" si="9"/>
        <v>17900000</v>
      </c>
      <c r="M31" s="7">
        <f t="shared" si="9"/>
        <v>18500000</v>
      </c>
      <c r="N31" s="7">
        <f t="shared" si="9"/>
        <v>18000000</v>
      </c>
    </row>
    <row r="32" spans="1:14" s="15" customFormat="1" ht="24">
      <c r="A32" s="14" t="s">
        <v>41</v>
      </c>
      <c r="B32" s="30" t="s">
        <v>70</v>
      </c>
      <c r="C32" s="8">
        <f>C31/C7*100</f>
        <v>6.616726663737661</v>
      </c>
      <c r="D32" s="8">
        <f>D31/D7*100</f>
        <v>7.316357113197007</v>
      </c>
      <c r="E32" s="8">
        <f aca="true" t="shared" si="10" ref="E32:N32">E31/E7*100</f>
        <v>11.247985250753148</v>
      </c>
      <c r="F32" s="8">
        <f t="shared" si="10"/>
        <v>10.788878002249039</v>
      </c>
      <c r="G32" s="8">
        <f t="shared" si="10"/>
        <v>11.494272820350899</v>
      </c>
      <c r="H32" s="8">
        <f t="shared" si="10"/>
        <v>13.423277160834493</v>
      </c>
      <c r="I32" s="8">
        <f t="shared" si="10"/>
        <v>10.216140658276373</v>
      </c>
      <c r="J32" s="8">
        <f t="shared" si="10"/>
        <v>6.705977833444631</v>
      </c>
      <c r="K32" s="8">
        <f t="shared" si="10"/>
        <v>6.510658090722943</v>
      </c>
      <c r="L32" s="8">
        <f t="shared" si="10"/>
        <v>6.428772055601316</v>
      </c>
      <c r="M32" s="8">
        <f t="shared" si="10"/>
        <v>6.450739438554232</v>
      </c>
      <c r="N32" s="8">
        <f t="shared" si="10"/>
        <v>6.09358750427584</v>
      </c>
    </row>
    <row r="33" spans="1:14" s="15" customFormat="1" ht="12.75">
      <c r="A33" s="14" t="s">
        <v>42</v>
      </c>
      <c r="B33" s="14" t="s">
        <v>43</v>
      </c>
      <c r="C33" s="6">
        <f>50363070+C17-C25-C30</f>
        <v>75150057</v>
      </c>
      <c r="D33" s="6">
        <f>C33+D17-D25-D30</f>
        <v>93803817</v>
      </c>
      <c r="E33" s="6">
        <f aca="true" t="shared" si="11" ref="E33:N33">D33+E17-E25-E30</f>
        <v>150284245</v>
      </c>
      <c r="F33" s="6">
        <f t="shared" si="11"/>
        <v>198765174</v>
      </c>
      <c r="G33" s="6">
        <f t="shared" si="11"/>
        <v>232312665</v>
      </c>
      <c r="H33" s="6">
        <f t="shared" si="11"/>
        <v>223619223</v>
      </c>
      <c r="I33" s="6">
        <f t="shared" si="11"/>
        <v>228188671</v>
      </c>
      <c r="J33" s="6">
        <f t="shared" si="11"/>
        <v>236716039</v>
      </c>
      <c r="K33" s="6">
        <f t="shared" si="11"/>
        <v>244091229</v>
      </c>
      <c r="L33" s="6">
        <f t="shared" si="11"/>
        <v>249609674</v>
      </c>
      <c r="M33" s="6">
        <f t="shared" si="11"/>
        <v>253566673</v>
      </c>
      <c r="N33" s="6">
        <f t="shared" si="11"/>
        <v>257857382</v>
      </c>
    </row>
    <row r="34" spans="1:14" s="17" customFormat="1" ht="24" customHeight="1">
      <c r="A34" s="16" t="s">
        <v>44</v>
      </c>
      <c r="B34" s="19" t="s">
        <v>74</v>
      </c>
      <c r="C34" s="7">
        <f>1640153+C18-C26</f>
        <v>11927928.91</v>
      </c>
      <c r="D34" s="7">
        <f>C34+D18-D26</f>
        <v>17418120.91</v>
      </c>
      <c r="E34" s="7">
        <f aca="true" t="shared" si="12" ref="E34:N34">D34+E18-E26</f>
        <v>38614120.91</v>
      </c>
      <c r="F34" s="7">
        <f t="shared" si="12"/>
        <v>68345120.91</v>
      </c>
      <c r="G34" s="7">
        <f t="shared" si="12"/>
        <v>94738120.91</v>
      </c>
      <c r="H34" s="7">
        <f t="shared" si="12"/>
        <v>93829120.91</v>
      </c>
      <c r="I34" s="7">
        <f t="shared" si="12"/>
        <v>92271120.91</v>
      </c>
      <c r="J34" s="7">
        <f t="shared" si="12"/>
        <v>90271120.91</v>
      </c>
      <c r="K34" s="7">
        <f t="shared" si="12"/>
        <v>88271120.91</v>
      </c>
      <c r="L34" s="7">
        <f t="shared" si="12"/>
        <v>86271120.91</v>
      </c>
      <c r="M34" s="7">
        <f t="shared" si="12"/>
        <v>84271120.91</v>
      </c>
      <c r="N34" s="7">
        <f t="shared" si="12"/>
        <v>82271120.91</v>
      </c>
    </row>
    <row r="35" spans="1:14" s="15" customFormat="1" ht="24" customHeight="1">
      <c r="A35" s="14" t="s">
        <v>45</v>
      </c>
      <c r="B35" s="28" t="s">
        <v>71</v>
      </c>
      <c r="C35" s="8">
        <f>(C33-C34)/C7*100</f>
        <v>28.599802056159646</v>
      </c>
      <c r="D35" s="8">
        <f>(D33-D34)/D7*100</f>
        <v>32.38866364870759</v>
      </c>
      <c r="E35" s="8">
        <f>(E33-E34)/E7*100</f>
        <v>41.31789173401624</v>
      </c>
      <c r="F35" s="8">
        <f>(F33-F34)/F7*100</f>
        <v>42.7685727001475</v>
      </c>
      <c r="G35" s="8">
        <f>(G33-G34)/G7*100</f>
        <v>44.294659465149955</v>
      </c>
      <c r="H35" s="8">
        <f aca="true" t="shared" si="13" ref="H35:M35">(H33-H34)/H7*100</f>
        <v>46.9597981964171</v>
      </c>
      <c r="I35" s="8">
        <f t="shared" si="13"/>
        <v>51.61906355567898</v>
      </c>
      <c r="J35" s="8">
        <f t="shared" si="13"/>
        <v>55.79865764387243</v>
      </c>
      <c r="K35" s="8">
        <f t="shared" si="13"/>
        <v>57.64155951326602</v>
      </c>
      <c r="L35" s="8">
        <f>(L33-L34)/L7*100</f>
        <v>58.662923223873975</v>
      </c>
      <c r="M35" s="8">
        <f t="shared" si="13"/>
        <v>59.0314321426365</v>
      </c>
      <c r="N35" s="8">
        <f>(N33-N34)/N7*100</f>
        <v>59.44168036114107</v>
      </c>
    </row>
    <row r="36" spans="1:14" s="25" customFormat="1" ht="25.5">
      <c r="A36" s="22" t="s">
        <v>62</v>
      </c>
      <c r="B36" s="29" t="s">
        <v>72</v>
      </c>
      <c r="C36" s="23">
        <f>C33/C7*100</f>
        <v>33.99564076124592</v>
      </c>
      <c r="D36" s="23">
        <f>D33/D7*100</f>
        <v>39.77420424627984</v>
      </c>
      <c r="E36" s="23">
        <f aca="true" t="shared" si="14" ref="E36:N36">E33/E7*100</f>
        <v>55.60509773620305</v>
      </c>
      <c r="F36" s="23">
        <f t="shared" si="14"/>
        <v>65.18094873500921</v>
      </c>
      <c r="G36" s="23">
        <f t="shared" si="14"/>
        <v>74.79734316898555</v>
      </c>
      <c r="H36" s="23">
        <f t="shared" si="14"/>
        <v>80.90843150456753</v>
      </c>
      <c r="I36" s="23">
        <f t="shared" si="14"/>
        <v>86.66199106175281</v>
      </c>
      <c r="J36" s="23">
        <f t="shared" si="14"/>
        <v>90.1938926337963</v>
      </c>
      <c r="K36" s="23">
        <f t="shared" si="14"/>
        <v>90.29514403200889</v>
      </c>
      <c r="L36" s="23">
        <f t="shared" si="14"/>
        <v>89.64713391167344</v>
      </c>
      <c r="M36" s="23">
        <f t="shared" si="14"/>
        <v>88.41581285535591</v>
      </c>
      <c r="N36" s="23">
        <f t="shared" si="14"/>
        <v>87.29314004669344</v>
      </c>
    </row>
    <row r="37" ht="9.75" customHeight="1">
      <c r="E37" s="4"/>
    </row>
    <row r="38" spans="1:2" ht="12.75">
      <c r="A38" s="31" t="s">
        <v>75</v>
      </c>
      <c r="B38" s="31"/>
    </row>
  </sheetData>
  <mergeCells count="3">
    <mergeCell ref="A38:B38"/>
    <mergeCell ref="A1:L1"/>
    <mergeCell ref="A2:L2"/>
  </mergeCells>
  <printOptions/>
  <pageMargins left="0" right="0" top="0.5905511811023623" bottom="0.5905511811023623" header="0.5118110236220472" footer="0.5118110236220472"/>
  <pageSetup horizontalDpi="600" verticalDpi="600" orientation="landscape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Piotrków Tryb.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4-0254</dc:creator>
  <cp:keywords/>
  <dc:description/>
  <cp:lastModifiedBy>Szymanska_K</cp:lastModifiedBy>
  <cp:lastPrinted>2007-04-25T12:39:58Z</cp:lastPrinted>
  <dcterms:created xsi:type="dcterms:W3CDTF">2006-04-24T07:41:08Z</dcterms:created>
  <dcterms:modified xsi:type="dcterms:W3CDTF">2007-04-26T07:28:42Z</dcterms:modified>
  <cp:category/>
  <cp:version/>
  <cp:contentType/>
  <cp:contentStatus/>
</cp:coreProperties>
</file>