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  <definedName name="_xlnm.Print_Titles" localSheetId="1">'Arkusz2'!$6:$8</definedName>
  </definedNames>
  <calcPr fullCalcOnLoad="1"/>
</workbook>
</file>

<file path=xl/sharedStrings.xml><?xml version="1.0" encoding="utf-8"?>
<sst xmlns="http://schemas.openxmlformats.org/spreadsheetml/2006/main" count="892" uniqueCount="232">
  <si>
    <t xml:space="preserve">z dnia    </t>
  </si>
  <si>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</si>
  <si>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</si>
  <si>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</si>
  <si>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</si>
  <si>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</si>
  <si>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</si>
  <si>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</si>
  <si>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</si>
  <si>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</si>
  <si>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</si>
  <si>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i powiatu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</si>
  <si>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</si>
  <si>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</si>
  <si>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</si>
  <si>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</si>
  <si>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</si>
  <si>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</si>
  <si>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§ 4270</t>
  </si>
  <si>
    <t>usługi remontowe</t>
  </si>
  <si>
    <t>§ 4040</t>
  </si>
  <si>
    <t>§ 4260</t>
  </si>
  <si>
    <t>energia</t>
  </si>
  <si>
    <t>§ 4430</t>
  </si>
  <si>
    <t>różne opłaty i składki</t>
  </si>
  <si>
    <t>Dział 754</t>
  </si>
  <si>
    <t>Bezpieczeństwo publiczne</t>
  </si>
  <si>
    <t>§ 4300</t>
  </si>
  <si>
    <t>pozostałe usługi</t>
  </si>
  <si>
    <t>§ 4440</t>
  </si>
  <si>
    <t>odpis na ZFŚS</t>
  </si>
  <si>
    <t>Dział 758</t>
  </si>
  <si>
    <t>Różne rozliczenia</t>
  </si>
  <si>
    <t>Dział 801</t>
  </si>
  <si>
    <t>Oświata i wychowanie</t>
  </si>
  <si>
    <t>Szkoły podstawowe</t>
  </si>
  <si>
    <t>§ 4010</t>
  </si>
  <si>
    <t xml:space="preserve">wynagrodzenie </t>
  </si>
  <si>
    <t>§ 4110</t>
  </si>
  <si>
    <t>składki na ubezpieczenia społeczne</t>
  </si>
  <si>
    <t>§ 4210</t>
  </si>
  <si>
    <t>materiały i wyposażenie</t>
  </si>
  <si>
    <t>§ 4120</t>
  </si>
  <si>
    <t>składki na FP</t>
  </si>
  <si>
    <t>Przedszkola</t>
  </si>
  <si>
    <t>§ 4240</t>
  </si>
  <si>
    <t>pomoce naukowe, dydaktyczne</t>
  </si>
  <si>
    <t>Gimnazja</t>
  </si>
  <si>
    <t>Dokształcanie i doskonalenie nauczycieli</t>
  </si>
  <si>
    <t>§ 4170</t>
  </si>
  <si>
    <t>wynagrodzenia bezosobowe</t>
  </si>
  <si>
    <t>Dział 851</t>
  </si>
  <si>
    <t>Ochrona zdrowia</t>
  </si>
  <si>
    <t>Przeciwdziałanie alkoholizmowi</t>
  </si>
  <si>
    <t>składki na ubezpieczenia społ.</t>
  </si>
  <si>
    <t>§ 4220</t>
  </si>
  <si>
    <t>zakup żywności</t>
  </si>
  <si>
    <t>Dział 852</t>
  </si>
  <si>
    <t>Dział 854</t>
  </si>
  <si>
    <t>Edukacyjna opieka wychowawcza</t>
  </si>
  <si>
    <t>Świetlice szkolne</t>
  </si>
  <si>
    <t>Dział 900</t>
  </si>
  <si>
    <t>Gospodarka komunalna</t>
  </si>
  <si>
    <t>Gospodarka ściekowa i ochrona wód</t>
  </si>
  <si>
    <t>Dział 921</t>
  </si>
  <si>
    <t>Kultura i ochrona dziec.narodowego</t>
  </si>
  <si>
    <t>Domy i ośrodki kultury</t>
  </si>
  <si>
    <t>§ 2480</t>
  </si>
  <si>
    <t>dotacja dla samorządowej instytucji kultury</t>
  </si>
  <si>
    <t>WYDATKI  DOTYCZĄCE  ZADAŃ  POWIATU</t>
  </si>
  <si>
    <t>B</t>
  </si>
  <si>
    <t>Dział 700</t>
  </si>
  <si>
    <t>Gospodarka mieszkaniowa</t>
  </si>
  <si>
    <t>Gospodarka gruntami i nieruchomościami</t>
  </si>
  <si>
    <t>§ 4610</t>
  </si>
  <si>
    <t>koszty postępowania sądowego</t>
  </si>
  <si>
    <t>Licea ogólnokształcące</t>
  </si>
  <si>
    <t>pomoce naukowe</t>
  </si>
  <si>
    <t>Szkoły zawodowe</t>
  </si>
  <si>
    <t>Pomoc społeczna</t>
  </si>
  <si>
    <t>Domy pomocy społecznej</t>
  </si>
  <si>
    <t>wynagrodzenie bezosobowe</t>
  </si>
  <si>
    <t>BWA</t>
  </si>
  <si>
    <t>Bibiloteka</t>
  </si>
  <si>
    <t>Muzeum</t>
  </si>
  <si>
    <t>Dział 750</t>
  </si>
  <si>
    <t>Administracja publiczna</t>
  </si>
  <si>
    <t>Urząd Miasta</t>
  </si>
  <si>
    <t>Dział 926</t>
  </si>
  <si>
    <t xml:space="preserve">Kultura fizyczna i sport </t>
  </si>
  <si>
    <t>Zadania w zak.kult.fiz.i sportu</t>
  </si>
  <si>
    <t>Licea profilowane</t>
  </si>
  <si>
    <t>Doskonalenie i dokształacanie nauczycieli</t>
  </si>
  <si>
    <t>§ 4230</t>
  </si>
  <si>
    <t>zakup leków</t>
  </si>
  <si>
    <t>Placówki opiekuńczo-wychowawcze</t>
  </si>
  <si>
    <t>§ 3110</t>
  </si>
  <si>
    <t>świadcznia społeczne</t>
  </si>
  <si>
    <t xml:space="preserve">Centra kształcenia </t>
  </si>
  <si>
    <t>Dział 710</t>
  </si>
  <si>
    <t>Działalność usługowa</t>
  </si>
  <si>
    <t>Nadzór budowlany</t>
  </si>
  <si>
    <t>Komenda powiatowa PSP</t>
  </si>
  <si>
    <t>§ 4060</t>
  </si>
  <si>
    <t>pozostałe należności funkcjonariuszy</t>
  </si>
  <si>
    <t>do Uchwały Nr</t>
  </si>
  <si>
    <t>Rady Miasta Piotrkowa Tryb.</t>
  </si>
  <si>
    <t>§ 4580</t>
  </si>
  <si>
    <t>odestki</t>
  </si>
  <si>
    <t>Promocja miasta</t>
  </si>
  <si>
    <t>Pozostała działalność</t>
  </si>
  <si>
    <t>§ 4590</t>
  </si>
  <si>
    <t>§ 6050</t>
  </si>
  <si>
    <t>wydatki inwestycyjne</t>
  </si>
  <si>
    <t>majątkowe</t>
  </si>
  <si>
    <t>odszkodowowania na rzecz os.fizycznych</t>
  </si>
  <si>
    <t>§ 6060</t>
  </si>
  <si>
    <t>zakupy inwestycyjne</t>
  </si>
  <si>
    <t>odszkodowowania na rzecz  os.fizycznych</t>
  </si>
  <si>
    <t>Schroniska dla zwierząt</t>
  </si>
  <si>
    <t>§ 4410</t>
  </si>
  <si>
    <t>podróże służbowe krajowe</t>
  </si>
  <si>
    <t>Usługi opiekuńcze</t>
  </si>
  <si>
    <t>Dział 600</t>
  </si>
  <si>
    <t>Transport i łączność</t>
  </si>
  <si>
    <t>Drogi publiczne</t>
  </si>
  <si>
    <t>Lokalny transport zbiorowy</t>
  </si>
  <si>
    <t>Drogi publiczne gminne</t>
  </si>
  <si>
    <t>§ 3020</t>
  </si>
  <si>
    <t>wydatki osobowe niezaliczane do wynagr.</t>
  </si>
  <si>
    <t>§ 4350</t>
  </si>
  <si>
    <t>usługi dostępu do sieci internet</t>
  </si>
  <si>
    <t>rózne opłaty i składki</t>
  </si>
  <si>
    <t>Instytucje kultury fizycznej</t>
  </si>
  <si>
    <t>dodatkowe wynagrodzenie roczne</t>
  </si>
  <si>
    <t>rózne składki i opłaty</t>
  </si>
  <si>
    <t>§ 4480</t>
  </si>
  <si>
    <t>podatek od nieruchomości</t>
  </si>
  <si>
    <t>Ośrodki wsparcia</t>
  </si>
  <si>
    <t>Świadczenia rodzinne</t>
  </si>
  <si>
    <t>świadczenia społeczne</t>
  </si>
  <si>
    <t>Zasiłki i pomoc w naturze</t>
  </si>
  <si>
    <t>Dodatki mieszkaniowe</t>
  </si>
  <si>
    <t>Rodziny zastępcze</t>
  </si>
  <si>
    <t>pozotsałe usługi</t>
  </si>
  <si>
    <t>Dział 853</t>
  </si>
  <si>
    <t>Pozostałe zad.w zakr.polityki społeczn.</t>
  </si>
  <si>
    <t>ZONA</t>
  </si>
  <si>
    <t>Pozost.zad.w zakresie pomocy społecz.</t>
  </si>
  <si>
    <t>Żłobek</t>
  </si>
  <si>
    <t>Pozostałe zadania w zakresie kultury</t>
  </si>
  <si>
    <t xml:space="preserve">Domy kultury </t>
  </si>
  <si>
    <t>§ 6220</t>
  </si>
  <si>
    <t>dotacje dla instytucji kultury na zad.inwest.</t>
  </si>
  <si>
    <t>§ 2820</t>
  </si>
  <si>
    <t>dotacje dla stowarzyszeń</t>
  </si>
  <si>
    <t>§ 2540</t>
  </si>
  <si>
    <t>dotacje dla szkół niepublicznych</t>
  </si>
  <si>
    <t>Wczesne wspomaganie dziecka</t>
  </si>
  <si>
    <t xml:space="preserve">wynagrodzenia </t>
  </si>
  <si>
    <t>wynagrodzenie</t>
  </si>
  <si>
    <t>pomoce naukowe i dydaktyczne</t>
  </si>
  <si>
    <t>zakup materiałów i wyposażenia</t>
  </si>
  <si>
    <t>Bursa szkolna</t>
  </si>
  <si>
    <t>Szkoła podstawowa specjalna</t>
  </si>
  <si>
    <t>Gimnazjum specjalne</t>
  </si>
  <si>
    <t>Specjalny ośrodek szkolno-wychowawczy</t>
  </si>
  <si>
    <t>wynagrodzenia</t>
  </si>
  <si>
    <t xml:space="preserve">pomoce naukowe </t>
  </si>
  <si>
    <t>Obrona cywilna</t>
  </si>
  <si>
    <t>§ 4100</t>
  </si>
  <si>
    <t>wynagrodzenie agencyjno-prowizyjne</t>
  </si>
  <si>
    <t>Dział 756</t>
  </si>
  <si>
    <t>Wydatki związane z poborem dochod.</t>
  </si>
  <si>
    <t>Pobór podatków i opłat</t>
  </si>
  <si>
    <t>Różne rozliczenia finansowe</t>
  </si>
  <si>
    <t>§ 3070</t>
  </si>
  <si>
    <t>§ 4050</t>
  </si>
  <si>
    <t>§ 4070</t>
  </si>
  <si>
    <t>§ 4080</t>
  </si>
  <si>
    <t>§ 4180</t>
  </si>
  <si>
    <t>§ 4280</t>
  </si>
  <si>
    <t>§ 4020</t>
  </si>
  <si>
    <t>§ 6052</t>
  </si>
  <si>
    <t>Ośrodki Interwencji kryzysowej</t>
  </si>
  <si>
    <t>Załącznik nr 3</t>
  </si>
  <si>
    <t>rezerwa ogólna</t>
  </si>
  <si>
    <t>§ 4810</t>
  </si>
  <si>
    <t>Rezerwy ogólne i celowe</t>
  </si>
  <si>
    <t>wydatki osobow.niezaliczane do wynagrodzeń</t>
  </si>
  <si>
    <t>pozostałe odsetki</t>
  </si>
  <si>
    <t>kary i odszkodowania na rzecz osób fiz.</t>
  </si>
  <si>
    <t>§ 6058</t>
  </si>
  <si>
    <t>wydatki inwestycyjne fins.z UE</t>
  </si>
  <si>
    <t>§ 6059</t>
  </si>
  <si>
    <t>wydatki inwestycyjne fins.z budż.pań</t>
  </si>
  <si>
    <t>wynagrodzenie członków korp.sł.cywilnych</t>
  </si>
  <si>
    <t>wydatki osobowe niezaliczane do uposażenia</t>
  </si>
  <si>
    <t>uposażenie funkcjonariuszy</t>
  </si>
  <si>
    <t>nagrody roczne dla funkcjonariuszy</t>
  </si>
  <si>
    <t>świadczenia dla funkcjonariuszy</t>
  </si>
  <si>
    <t>równoważnik pieniężny</t>
  </si>
  <si>
    <t>usługi zdrowotne</t>
  </si>
  <si>
    <t>kary i odszkodowania na rzecz fiz.</t>
  </si>
  <si>
    <t>Poradnia psychologiczno-pedagogiczna</t>
  </si>
  <si>
    <t>§ 4018</t>
  </si>
  <si>
    <t>§ 4118</t>
  </si>
  <si>
    <t>§ 4308</t>
  </si>
  <si>
    <t>§ 4448</t>
  </si>
  <si>
    <t>§ 4218</t>
  </si>
  <si>
    <t>§ 4219</t>
  </si>
  <si>
    <t>§ 4309</t>
  </si>
  <si>
    <t>§ 4419</t>
  </si>
  <si>
    <t>wynagrodzenia finansowane UE</t>
  </si>
  <si>
    <t>składki na ubezpieczenia społ.finan.UE</t>
  </si>
  <si>
    <t>odpis na ZFŚS (finansowe UE)</t>
  </si>
  <si>
    <t>składki na FP (finansowane UE)</t>
  </si>
  <si>
    <t>materiały i wyposażenie (finansowane UE)</t>
  </si>
  <si>
    <t>pozostałe usługi (finansowane UE)</t>
  </si>
  <si>
    <t>materiały i wyposażenie (finan.budż.pań.)</t>
  </si>
  <si>
    <t>pozostałe usługi (finansowane budż.pań.)</t>
  </si>
  <si>
    <t>podróże służbowe krajowe (finan.budż.pań.)</t>
  </si>
  <si>
    <t>ZMIANY  W  PLANIE  WYDATKÓW  -  AUTOPOPRAWKA</t>
  </si>
  <si>
    <t>na cyfrę 8 - finansowenie z UE</t>
  </si>
  <si>
    <t>na cyfrę 9 - finansowenie z budżetu jst</t>
  </si>
  <si>
    <t xml:space="preserve">W związku z podpisywaniem umowy ,,Zostań poligloną - kompleksowe kursy językowe dla pracujacych'' zmieniamy czwartą cyfrę paragrafów wydatków według źródeł finansowania  </t>
  </si>
  <si>
    <t>materiały i wyposażenie (finan.budż.jst)</t>
  </si>
  <si>
    <t>pozostałe usługi (finansowane budż.jst)</t>
  </si>
  <si>
    <t>podróże służbowe krajowe (finan.budż.jst)</t>
  </si>
  <si>
    <t>§ 4128</t>
  </si>
  <si>
    <t>do Uchwały Nr XLIV/765/05</t>
  </si>
  <si>
    <t>z dnia   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</si>
</sst>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tabSelected="1" zoomScale="125" zoomScaleNormal="125" workbookViewId="0" topLeftCell="C1">
      <selection activeCell="B402" sqref="B402"/>
    </sheetView>
  </sheetViews>
  <sheetFormatPr defaultColWidth="9.140625" defaultRowHeight="12.75"/>
  <cols>
    <col min="1" max="1" width="11.57421875" style="0" customWidth="1"/>
    <col min="2" max="2" width="36.140625" style="0" customWidth="1"/>
    <col min="3" max="3" width="11.57421875" style="0" customWidth="1"/>
    <col min="4" max="4" width="11.140625" style="0" customWidth="1"/>
    <col min="5" max="5" width="11.57421875" style="0" customWidth="1"/>
    <col min="6" max="6" width="10.140625" style="0" bestFit="1" customWidth="1"/>
    <col min="7" max="7" width="9.421875" style="0" bestFit="1" customWidth="1"/>
    <col min="8" max="8" width="10.28125" style="0" customWidth="1"/>
    <col min="9" max="9" width="11.28125" style="0" customWidth="1"/>
    <col min="10" max="10" width="10.421875" style="0" customWidth="1"/>
    <col min="11" max="11" width="11.421875" style="0" customWidth="1"/>
  </cols>
  <sheetData>
    <row r="1" spans="9:11" ht="12.75" customHeight="1">
      <c r="I1" s="145" t="s">
        <v>185</v>
      </c>
      <c r="J1" s="145"/>
      <c r="K1" s="145"/>
    </row>
    <row r="2" spans="7:11" ht="12.75" customHeight="1">
      <c r="G2" s="135"/>
      <c r="I2" s="145" t="s">
        <v>230</v>
      </c>
      <c r="J2" s="145"/>
      <c r="K2" s="145"/>
    </row>
    <row r="3" spans="9:11" ht="12.75" customHeight="1">
      <c r="I3" s="145" t="s">
        <v>106</v>
      </c>
      <c r="J3" s="145"/>
      <c r="K3" s="145"/>
    </row>
    <row r="4" spans="9:11" ht="12.75" customHeight="1">
      <c r="I4" s="145" t="s">
        <v>231</v>
      </c>
      <c r="J4" s="145"/>
      <c r="K4" s="145"/>
    </row>
    <row r="5" spans="1:11" ht="45" customHeight="1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8" customHeight="1">
      <c r="A6" s="153" t="s">
        <v>2</v>
      </c>
      <c r="B6" s="153" t="s">
        <v>3</v>
      </c>
      <c r="C6" s="154" t="s">
        <v>4</v>
      </c>
      <c r="D6" s="154"/>
      <c r="E6" s="154"/>
      <c r="F6" s="154" t="s">
        <v>5</v>
      </c>
      <c r="G6" s="154"/>
      <c r="H6" s="154"/>
      <c r="I6" s="154" t="s">
        <v>6</v>
      </c>
      <c r="J6" s="154"/>
      <c r="K6" s="154"/>
    </row>
    <row r="7" spans="1:11" ht="15" customHeight="1">
      <c r="A7" s="153"/>
      <c r="B7" s="153"/>
      <c r="C7" s="1" t="s">
        <v>7</v>
      </c>
      <c r="D7" s="1" t="s">
        <v>8</v>
      </c>
      <c r="E7" s="1" t="s">
        <v>9</v>
      </c>
      <c r="F7" s="1" t="s">
        <v>7</v>
      </c>
      <c r="G7" s="1" t="s">
        <v>8</v>
      </c>
      <c r="H7" s="1" t="s">
        <v>9</v>
      </c>
      <c r="I7" s="1" t="s">
        <v>7</v>
      </c>
      <c r="J7" s="1" t="s">
        <v>8</v>
      </c>
      <c r="K7" s="1" t="s">
        <v>9</v>
      </c>
    </row>
    <row r="8" spans="1:11" ht="12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s="6" customFormat="1" ht="30.75" customHeight="1">
      <c r="A9" s="3" t="s">
        <v>10</v>
      </c>
      <c r="B9" s="4" t="s">
        <v>11</v>
      </c>
      <c r="C9" s="5">
        <v>185330801</v>
      </c>
      <c r="D9" s="5">
        <v>31338531</v>
      </c>
      <c r="E9" s="5">
        <f>SUM(C9:D9)</f>
        <v>216669332</v>
      </c>
      <c r="F9" s="5">
        <f>F13+F255</f>
        <v>-1762809</v>
      </c>
      <c r="G9" s="5">
        <f>G13+G255</f>
        <v>3942</v>
      </c>
      <c r="H9" s="5">
        <f>SUM(F9:G9)</f>
        <v>-1758867</v>
      </c>
      <c r="I9" s="5">
        <f>C9+F9</f>
        <v>183567992</v>
      </c>
      <c r="J9" s="5">
        <f>D9+G9</f>
        <v>31342473</v>
      </c>
      <c r="K9" s="5">
        <f>E9+H9</f>
        <v>214910465</v>
      </c>
    </row>
    <row r="10" spans="1:11" s="9" customFormat="1" ht="15" customHeight="1">
      <c r="A10" s="7"/>
      <c r="B10" s="7" t="s">
        <v>12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12" customFormat="1" ht="15" customHeight="1">
      <c r="A11" s="10"/>
      <c r="B11" s="10" t="s">
        <v>13</v>
      </c>
      <c r="C11" s="11">
        <v>34627305</v>
      </c>
      <c r="D11" s="11">
        <v>822614</v>
      </c>
      <c r="E11" s="11">
        <f>SUM(C11:D11)</f>
        <v>35449919</v>
      </c>
      <c r="F11" s="11">
        <f>F15+F257</f>
        <v>-660052</v>
      </c>
      <c r="G11" s="11">
        <f>G15+G257</f>
        <v>-8000</v>
      </c>
      <c r="H11" s="11">
        <f>SUM(F11:G11)</f>
        <v>-668052</v>
      </c>
      <c r="I11" s="11">
        <f>C11+F11</f>
        <v>33967253</v>
      </c>
      <c r="J11" s="11">
        <f>D11+G11</f>
        <v>814614</v>
      </c>
      <c r="K11" s="11">
        <f>E11+H11</f>
        <v>34781867</v>
      </c>
    </row>
    <row r="12" spans="1:11" ht="23.25" customHeight="1">
      <c r="A12" s="146" t="s">
        <v>14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</row>
    <row r="13" spans="1:11" s="6" customFormat="1" ht="13.5" customHeight="1">
      <c r="A13" s="2" t="s">
        <v>15</v>
      </c>
      <c r="B13" s="13" t="s">
        <v>16</v>
      </c>
      <c r="C13" s="14">
        <v>129518199</v>
      </c>
      <c r="D13" s="14">
        <v>22051239</v>
      </c>
      <c r="E13" s="5">
        <f>SUM(C13:D13)</f>
        <v>151569438</v>
      </c>
      <c r="F13" s="14">
        <f>F16+F26+F34+F47+F64+F76+F81+F91+F139+F149+F183+F196+F208+F227+F238</f>
        <v>-1359287</v>
      </c>
      <c r="G13" s="14">
        <f>G16+G26+G34+G47+G64+G76+G81+G91+G139+G149+G183+G196+G208+G227+G238</f>
        <v>0</v>
      </c>
      <c r="H13" s="5">
        <f>SUM(F13:G13)</f>
        <v>-1359287</v>
      </c>
      <c r="I13" s="5">
        <f>C13+F13</f>
        <v>128158912</v>
      </c>
      <c r="J13" s="5">
        <f>D13+G13</f>
        <v>22051239</v>
      </c>
      <c r="K13" s="5">
        <f>E13+H13</f>
        <v>150210151</v>
      </c>
    </row>
    <row r="14" spans="1:11" s="9" customFormat="1" ht="15" customHeight="1">
      <c r="A14" s="15"/>
      <c r="B14" s="16" t="s">
        <v>17</v>
      </c>
      <c r="C14" s="17"/>
      <c r="D14" s="17"/>
      <c r="E14" s="17"/>
      <c r="F14" s="17"/>
      <c r="G14" s="17"/>
      <c r="H14" s="8"/>
      <c r="I14" s="8"/>
      <c r="J14" s="8"/>
      <c r="K14" s="8"/>
    </row>
    <row r="15" spans="1:11" s="12" customFormat="1" ht="13.5" customHeight="1">
      <c r="A15" s="18"/>
      <c r="B15" s="19" t="s">
        <v>13</v>
      </c>
      <c r="C15" s="20">
        <v>29985375</v>
      </c>
      <c r="D15" s="20">
        <v>527478</v>
      </c>
      <c r="E15" s="11">
        <f>SUM(C15:D15)</f>
        <v>30512853</v>
      </c>
      <c r="F15" s="20">
        <f>F18+F28+F36+F49+F66+F78+F83+F93+F141+F151+F185+F198+F210+F229+F240</f>
        <v>-466464</v>
      </c>
      <c r="G15" s="20">
        <f>G18+G28+G36+G49+G66+G78+G83+G93+G141+G151+G185+G198+G210+G229+G240</f>
        <v>0</v>
      </c>
      <c r="H15" s="11">
        <f>SUM(F15:G15)</f>
        <v>-466464</v>
      </c>
      <c r="I15" s="11">
        <f aca="true" t="shared" si="0" ref="I15:K16">C15+F15</f>
        <v>29518911</v>
      </c>
      <c r="J15" s="11">
        <f t="shared" si="0"/>
        <v>527478</v>
      </c>
      <c r="K15" s="11">
        <f t="shared" si="0"/>
        <v>30046389</v>
      </c>
    </row>
    <row r="16" spans="1:11" s="72" customFormat="1" ht="15" customHeight="1">
      <c r="A16" s="2" t="s">
        <v>123</v>
      </c>
      <c r="B16" s="13" t="s">
        <v>124</v>
      </c>
      <c r="C16" s="14">
        <v>24898812</v>
      </c>
      <c r="D16" s="14">
        <v>0</v>
      </c>
      <c r="E16" s="5">
        <f>SUM(C16:D16)</f>
        <v>24898812</v>
      </c>
      <c r="F16" s="14">
        <f>F19+F23</f>
        <v>-259432</v>
      </c>
      <c r="G16" s="14">
        <v>0</v>
      </c>
      <c r="H16" s="5">
        <f>F16+G16</f>
        <v>-259432</v>
      </c>
      <c r="I16" s="5">
        <f t="shared" si="0"/>
        <v>24639380</v>
      </c>
      <c r="J16" s="5">
        <f t="shared" si="0"/>
        <v>0</v>
      </c>
      <c r="K16" s="5">
        <f t="shared" si="0"/>
        <v>24639380</v>
      </c>
    </row>
    <row r="17" spans="1:11" s="60" customFormat="1" ht="15" customHeight="1">
      <c r="A17" s="15"/>
      <c r="B17" s="16" t="s">
        <v>12</v>
      </c>
      <c r="C17" s="17"/>
      <c r="D17" s="17"/>
      <c r="E17" s="8"/>
      <c r="F17" s="17"/>
      <c r="G17" s="17"/>
      <c r="H17" s="8"/>
      <c r="I17" s="8"/>
      <c r="J17" s="8"/>
      <c r="K17" s="8"/>
    </row>
    <row r="18" spans="1:11" s="73" customFormat="1" ht="15" customHeight="1">
      <c r="A18" s="18"/>
      <c r="B18" s="10" t="s">
        <v>114</v>
      </c>
      <c r="C18" s="20">
        <v>17491509</v>
      </c>
      <c r="D18" s="20">
        <v>0</v>
      </c>
      <c r="E18" s="11">
        <f aca="true" t="shared" si="1" ref="E18:E24">SUM(C18:D18)</f>
        <v>17491509</v>
      </c>
      <c r="F18" s="20">
        <f>F22+F24+F25</f>
        <v>-194564</v>
      </c>
      <c r="G18" s="20">
        <v>0</v>
      </c>
      <c r="H18" s="11">
        <f aca="true" t="shared" si="2" ref="H18:H24">F18+G18</f>
        <v>-194564</v>
      </c>
      <c r="I18" s="11">
        <f aca="true" t="shared" si="3" ref="I18:K24">C18+F18</f>
        <v>17296945</v>
      </c>
      <c r="J18" s="11">
        <f t="shared" si="3"/>
        <v>0</v>
      </c>
      <c r="K18" s="11">
        <f t="shared" si="3"/>
        <v>17296945</v>
      </c>
    </row>
    <row r="19" spans="1:11" s="28" customFormat="1" ht="14.25" customHeight="1">
      <c r="A19" s="27">
        <v>60004</v>
      </c>
      <c r="B19" s="28" t="s">
        <v>126</v>
      </c>
      <c r="C19" s="22">
        <v>5679965</v>
      </c>
      <c r="D19" s="22">
        <v>0</v>
      </c>
      <c r="E19" s="23">
        <f t="shared" si="1"/>
        <v>5679965</v>
      </c>
      <c r="F19" s="29">
        <f>SUM(F20:F22)</f>
        <v>-75432</v>
      </c>
      <c r="G19" s="29">
        <v>0</v>
      </c>
      <c r="H19" s="23">
        <f t="shared" si="2"/>
        <v>-75432</v>
      </c>
      <c r="I19" s="23">
        <f t="shared" si="3"/>
        <v>5604533</v>
      </c>
      <c r="J19" s="23">
        <f t="shared" si="3"/>
        <v>0</v>
      </c>
      <c r="K19" s="23">
        <f t="shared" si="3"/>
        <v>5604533</v>
      </c>
    </row>
    <row r="20" spans="1:11" s="38" customFormat="1" ht="15" customHeight="1">
      <c r="A20" s="40" t="s">
        <v>40</v>
      </c>
      <c r="B20" s="38" t="s">
        <v>41</v>
      </c>
      <c r="C20" s="35">
        <v>11390</v>
      </c>
      <c r="D20" s="35">
        <v>0</v>
      </c>
      <c r="E20" s="36">
        <f>SUM(C20:D20)</f>
        <v>11390</v>
      </c>
      <c r="F20" s="35">
        <v>-5000</v>
      </c>
      <c r="G20" s="35">
        <v>0</v>
      </c>
      <c r="H20" s="36">
        <f t="shared" si="2"/>
        <v>-5000</v>
      </c>
      <c r="I20" s="36">
        <f t="shared" si="3"/>
        <v>6390</v>
      </c>
      <c r="J20" s="36">
        <f t="shared" si="3"/>
        <v>0</v>
      </c>
      <c r="K20" s="36">
        <f t="shared" si="3"/>
        <v>6390</v>
      </c>
    </row>
    <row r="21" spans="1:11" s="38" customFormat="1" ht="15" customHeight="1">
      <c r="A21" s="40" t="s">
        <v>27</v>
      </c>
      <c r="B21" s="38" t="s">
        <v>28</v>
      </c>
      <c r="C21" s="35">
        <v>3112500</v>
      </c>
      <c r="D21" s="35">
        <v>0</v>
      </c>
      <c r="E21" s="36">
        <f>SUM(C21:D21)</f>
        <v>3112500</v>
      </c>
      <c r="F21" s="35">
        <v>-59868</v>
      </c>
      <c r="G21" s="35">
        <v>0</v>
      </c>
      <c r="H21" s="36">
        <f t="shared" si="2"/>
        <v>-59868</v>
      </c>
      <c r="I21" s="36">
        <f t="shared" si="3"/>
        <v>3052632</v>
      </c>
      <c r="J21" s="36">
        <f t="shared" si="3"/>
        <v>0</v>
      </c>
      <c r="K21" s="36">
        <f t="shared" si="3"/>
        <v>3052632</v>
      </c>
    </row>
    <row r="22" spans="1:11" s="76" customFormat="1" ht="15" customHeight="1">
      <c r="A22" s="75" t="s">
        <v>116</v>
      </c>
      <c r="B22" s="76" t="s">
        <v>117</v>
      </c>
      <c r="C22" s="58">
        <v>94500</v>
      </c>
      <c r="D22" s="58">
        <v>0</v>
      </c>
      <c r="E22" s="59">
        <f t="shared" si="1"/>
        <v>94500</v>
      </c>
      <c r="F22" s="77">
        <v>-10564</v>
      </c>
      <c r="G22" s="77">
        <v>0</v>
      </c>
      <c r="H22" s="59">
        <f t="shared" si="2"/>
        <v>-10564</v>
      </c>
      <c r="I22" s="59">
        <f t="shared" si="3"/>
        <v>83936</v>
      </c>
      <c r="J22" s="59">
        <f t="shared" si="3"/>
        <v>0</v>
      </c>
      <c r="K22" s="59">
        <f t="shared" si="3"/>
        <v>83936</v>
      </c>
    </row>
    <row r="23" spans="1:11" s="28" customFormat="1" ht="14.25" customHeight="1">
      <c r="A23" s="27">
        <v>60016</v>
      </c>
      <c r="B23" s="28" t="s">
        <v>127</v>
      </c>
      <c r="C23" s="22">
        <v>18527387</v>
      </c>
      <c r="D23" s="22">
        <v>0</v>
      </c>
      <c r="E23" s="23">
        <f t="shared" si="1"/>
        <v>18527387</v>
      </c>
      <c r="F23" s="29">
        <f>SUM(F24:F25)</f>
        <v>-184000</v>
      </c>
      <c r="G23" s="29">
        <v>0</v>
      </c>
      <c r="H23" s="23">
        <f t="shared" si="2"/>
        <v>-184000</v>
      </c>
      <c r="I23" s="23">
        <f t="shared" si="3"/>
        <v>18343387</v>
      </c>
      <c r="J23" s="23">
        <f t="shared" si="3"/>
        <v>0</v>
      </c>
      <c r="K23" s="23">
        <f t="shared" si="3"/>
        <v>18343387</v>
      </c>
    </row>
    <row r="24" spans="1:11" s="31" customFormat="1" ht="15" customHeight="1">
      <c r="A24" s="30" t="s">
        <v>112</v>
      </c>
      <c r="B24" s="31" t="s">
        <v>113</v>
      </c>
      <c r="C24" s="25">
        <v>1283959</v>
      </c>
      <c r="D24" s="25">
        <v>0</v>
      </c>
      <c r="E24" s="26">
        <f t="shared" si="1"/>
        <v>1283959</v>
      </c>
      <c r="F24" s="32">
        <v>-110000</v>
      </c>
      <c r="G24" s="32">
        <v>0</v>
      </c>
      <c r="H24" s="26">
        <f t="shared" si="2"/>
        <v>-110000</v>
      </c>
      <c r="I24" s="26">
        <f t="shared" si="3"/>
        <v>1173959</v>
      </c>
      <c r="J24" s="26">
        <f t="shared" si="3"/>
        <v>0</v>
      </c>
      <c r="K24" s="26">
        <f t="shared" si="3"/>
        <v>1173959</v>
      </c>
    </row>
    <row r="25" spans="1:11" s="31" customFormat="1" ht="15" customHeight="1">
      <c r="A25" s="30" t="s">
        <v>183</v>
      </c>
      <c r="B25" s="31" t="s">
        <v>113</v>
      </c>
      <c r="C25" s="25">
        <v>13700000</v>
      </c>
      <c r="D25" s="25">
        <v>0</v>
      </c>
      <c r="E25" s="26">
        <f>SUM(C25:D25)</f>
        <v>13700000</v>
      </c>
      <c r="F25" s="32">
        <v>-74000</v>
      </c>
      <c r="G25" s="32">
        <v>0</v>
      </c>
      <c r="H25" s="26">
        <f>F25+G25</f>
        <v>-74000</v>
      </c>
      <c r="I25" s="26">
        <f aca="true" t="shared" si="4" ref="I25:K26">C25+F25</f>
        <v>13626000</v>
      </c>
      <c r="J25" s="26">
        <f t="shared" si="4"/>
        <v>0</v>
      </c>
      <c r="K25" s="26">
        <f t="shared" si="4"/>
        <v>13626000</v>
      </c>
    </row>
    <row r="26" spans="1:11" s="39" customFormat="1" ht="15" customHeight="1">
      <c r="A26" s="61" t="s">
        <v>71</v>
      </c>
      <c r="B26" s="62" t="s">
        <v>72</v>
      </c>
      <c r="C26" s="63">
        <v>9356544</v>
      </c>
      <c r="D26" s="63">
        <v>279400</v>
      </c>
      <c r="E26" s="64">
        <f>SUM(C26:D26)</f>
        <v>9635944</v>
      </c>
      <c r="F26" s="63">
        <f>F29+F31</f>
        <v>-98500</v>
      </c>
      <c r="G26" s="63">
        <f>G31</f>
        <v>0</v>
      </c>
      <c r="H26" s="64">
        <f>F26+G26</f>
        <v>-98500</v>
      </c>
      <c r="I26" s="64">
        <f t="shared" si="4"/>
        <v>9258044</v>
      </c>
      <c r="J26" s="64">
        <f t="shared" si="4"/>
        <v>279400</v>
      </c>
      <c r="K26" s="64">
        <f t="shared" si="4"/>
        <v>9537444</v>
      </c>
    </row>
    <row r="27" spans="1:11" s="39" customFormat="1" ht="13.5" customHeight="1">
      <c r="A27" s="65"/>
      <c r="B27" s="66" t="s">
        <v>12</v>
      </c>
      <c r="C27" s="67"/>
      <c r="D27" s="67"/>
      <c r="E27" s="68"/>
      <c r="F27" s="67"/>
      <c r="G27" s="67"/>
      <c r="H27" s="68"/>
      <c r="I27" s="68"/>
      <c r="J27" s="68"/>
      <c r="K27" s="68"/>
    </row>
    <row r="28" spans="1:11" s="39" customFormat="1" ht="13.5" customHeight="1">
      <c r="A28" s="69"/>
      <c r="B28" s="10" t="s">
        <v>114</v>
      </c>
      <c r="C28" s="70">
        <v>5350874</v>
      </c>
      <c r="D28" s="70">
        <v>279400</v>
      </c>
      <c r="E28" s="71">
        <f aca="true" t="shared" si="5" ref="E28:E33">SUM(C28:D28)</f>
        <v>5630274</v>
      </c>
      <c r="F28" s="70">
        <f>F33</f>
        <v>-105000</v>
      </c>
      <c r="G28" s="70">
        <f>G33</f>
        <v>0</v>
      </c>
      <c r="H28" s="71">
        <f aca="true" t="shared" si="6" ref="H28:H33">F28+G28</f>
        <v>-105000</v>
      </c>
      <c r="I28" s="71">
        <f>C28+F28</f>
        <v>5245874</v>
      </c>
      <c r="J28" s="71">
        <f>D28+G28</f>
        <v>279400</v>
      </c>
      <c r="K28" s="71">
        <f>E28+H28</f>
        <v>5525274</v>
      </c>
    </row>
    <row r="29" spans="1:11" s="39" customFormat="1" ht="13.5" customHeight="1">
      <c r="A29" s="54">
        <v>70005</v>
      </c>
      <c r="B29" s="55" t="s">
        <v>73</v>
      </c>
      <c r="C29" s="56">
        <v>1919680</v>
      </c>
      <c r="D29" s="56">
        <v>0</v>
      </c>
      <c r="E29" s="49">
        <f>SUM(C29:D29)</f>
        <v>1919680</v>
      </c>
      <c r="F29" s="56">
        <f>SUM(F30:F30)</f>
        <v>11500</v>
      </c>
      <c r="G29" s="56">
        <f>SUM(G30:G30)</f>
        <v>0</v>
      </c>
      <c r="H29" s="49">
        <f>F29+G29</f>
        <v>11500</v>
      </c>
      <c r="I29" s="49">
        <f aca="true" t="shared" si="7" ref="I29:K34">C29+F29</f>
        <v>1931180</v>
      </c>
      <c r="J29" s="49">
        <f t="shared" si="7"/>
        <v>0</v>
      </c>
      <c r="K29" s="49">
        <f t="shared" si="7"/>
        <v>1931180</v>
      </c>
    </row>
    <row r="30" spans="1:11" s="39" customFormat="1" ht="13.5" customHeight="1">
      <c r="A30" s="33" t="s">
        <v>111</v>
      </c>
      <c r="B30" s="34" t="s">
        <v>115</v>
      </c>
      <c r="C30" s="35">
        <v>319000</v>
      </c>
      <c r="D30" s="35">
        <v>0</v>
      </c>
      <c r="E30" s="36">
        <f>SUM(C30:D30)</f>
        <v>319000</v>
      </c>
      <c r="F30" s="37">
        <v>11500</v>
      </c>
      <c r="G30" s="37">
        <v>0</v>
      </c>
      <c r="H30" s="36">
        <f>F30+G30</f>
        <v>11500</v>
      </c>
      <c r="I30" s="36">
        <f t="shared" si="7"/>
        <v>330500</v>
      </c>
      <c r="J30" s="36">
        <f t="shared" si="7"/>
        <v>0</v>
      </c>
      <c r="K30" s="36">
        <f t="shared" si="7"/>
        <v>330500</v>
      </c>
    </row>
    <row r="31" spans="1:11" s="39" customFormat="1" ht="13.5" customHeight="1">
      <c r="A31" s="54">
        <v>70095</v>
      </c>
      <c r="B31" s="55" t="s">
        <v>110</v>
      </c>
      <c r="C31" s="56">
        <v>4529130</v>
      </c>
      <c r="D31" s="56">
        <v>279400</v>
      </c>
      <c r="E31" s="49">
        <f t="shared" si="5"/>
        <v>4808530</v>
      </c>
      <c r="F31" s="56">
        <f>SUM(F32:F33)</f>
        <v>-110000</v>
      </c>
      <c r="G31" s="56">
        <f>SUM(G33:G33)</f>
        <v>0</v>
      </c>
      <c r="H31" s="49">
        <f t="shared" si="6"/>
        <v>-110000</v>
      </c>
      <c r="I31" s="49">
        <f t="shared" si="7"/>
        <v>4419130</v>
      </c>
      <c r="J31" s="49">
        <f t="shared" si="7"/>
        <v>279400</v>
      </c>
      <c r="K31" s="49">
        <f t="shared" si="7"/>
        <v>4698530</v>
      </c>
    </row>
    <row r="32" spans="1:11" s="39" customFormat="1" ht="13.5" customHeight="1">
      <c r="A32" s="33" t="s">
        <v>111</v>
      </c>
      <c r="B32" s="34" t="s">
        <v>118</v>
      </c>
      <c r="C32" s="35">
        <v>100000</v>
      </c>
      <c r="D32" s="35">
        <v>0</v>
      </c>
      <c r="E32" s="36">
        <f>SUM(C32:D32)</f>
        <v>100000</v>
      </c>
      <c r="F32" s="37">
        <v>-5000</v>
      </c>
      <c r="G32" s="37">
        <v>0</v>
      </c>
      <c r="H32" s="36">
        <f>F32+G32</f>
        <v>-5000</v>
      </c>
      <c r="I32" s="36">
        <f t="shared" si="7"/>
        <v>95000</v>
      </c>
      <c r="J32" s="36">
        <f t="shared" si="7"/>
        <v>0</v>
      </c>
      <c r="K32" s="36">
        <f t="shared" si="7"/>
        <v>95000</v>
      </c>
    </row>
    <row r="33" spans="1:11" s="39" customFormat="1" ht="13.5" customHeight="1">
      <c r="A33" s="40" t="s">
        <v>112</v>
      </c>
      <c r="B33" s="38" t="s">
        <v>113</v>
      </c>
      <c r="C33" s="35">
        <v>1856130</v>
      </c>
      <c r="D33" s="35">
        <v>279400</v>
      </c>
      <c r="E33" s="36">
        <f t="shared" si="5"/>
        <v>2135530</v>
      </c>
      <c r="F33" s="35">
        <f>-80000-25000</f>
        <v>-105000</v>
      </c>
      <c r="G33" s="35">
        <v>0</v>
      </c>
      <c r="H33" s="36">
        <f t="shared" si="6"/>
        <v>-105000</v>
      </c>
      <c r="I33" s="36">
        <f t="shared" si="7"/>
        <v>1751130</v>
      </c>
      <c r="J33" s="36">
        <f t="shared" si="7"/>
        <v>279400</v>
      </c>
      <c r="K33" s="36">
        <f t="shared" si="7"/>
        <v>2030530</v>
      </c>
    </row>
    <row r="34" spans="1:11" s="6" customFormat="1" ht="15" customHeight="1">
      <c r="A34" s="2" t="s">
        <v>99</v>
      </c>
      <c r="B34" s="13" t="s">
        <v>100</v>
      </c>
      <c r="C34" s="14">
        <v>1156420</v>
      </c>
      <c r="D34" s="14">
        <v>30000</v>
      </c>
      <c r="E34" s="5">
        <f>SUM(C34:D34)</f>
        <v>1186420</v>
      </c>
      <c r="F34" s="14">
        <f>F37</f>
        <v>-11770</v>
      </c>
      <c r="G34" s="14">
        <v>0</v>
      </c>
      <c r="H34" s="5">
        <f>F34+G34</f>
        <v>-11770</v>
      </c>
      <c r="I34" s="5">
        <f t="shared" si="7"/>
        <v>1144650</v>
      </c>
      <c r="J34" s="5">
        <f t="shared" si="7"/>
        <v>30000</v>
      </c>
      <c r="K34" s="5">
        <f t="shared" si="7"/>
        <v>1174650</v>
      </c>
    </row>
    <row r="35" spans="1:11" s="9" customFormat="1" ht="15" customHeight="1">
      <c r="A35" s="15"/>
      <c r="B35" s="16" t="s">
        <v>12</v>
      </c>
      <c r="C35" s="17"/>
      <c r="D35" s="17"/>
      <c r="E35" s="8"/>
      <c r="F35" s="17"/>
      <c r="G35" s="17"/>
      <c r="H35" s="8"/>
      <c r="I35" s="8"/>
      <c r="J35" s="8"/>
      <c r="K35" s="8"/>
    </row>
    <row r="36" spans="1:11" s="12" customFormat="1" ht="15" customHeight="1">
      <c r="A36" s="18"/>
      <c r="B36" s="10" t="s">
        <v>114</v>
      </c>
      <c r="C36" s="20">
        <v>29500</v>
      </c>
      <c r="D36" s="20">
        <v>0</v>
      </c>
      <c r="E36" s="11">
        <f aca="true" t="shared" si="8" ref="E36:E45">SUM(C36:D36)</f>
        <v>29500</v>
      </c>
      <c r="F36" s="20">
        <f>F46</f>
        <v>-300</v>
      </c>
      <c r="G36" s="20">
        <v>0</v>
      </c>
      <c r="H36" s="11">
        <f aca="true" t="shared" si="9" ref="H36:H45">F36+G36</f>
        <v>-300</v>
      </c>
      <c r="I36" s="11">
        <f aca="true" t="shared" si="10" ref="I36:K46">C36+F36</f>
        <v>29200</v>
      </c>
      <c r="J36" s="11">
        <f t="shared" si="10"/>
        <v>0</v>
      </c>
      <c r="K36" s="11">
        <f t="shared" si="10"/>
        <v>29200</v>
      </c>
    </row>
    <row r="37" spans="1:11" s="6" customFormat="1" ht="15" customHeight="1">
      <c r="A37" s="21">
        <v>71095</v>
      </c>
      <c r="B37" s="6" t="s">
        <v>110</v>
      </c>
      <c r="C37" s="22">
        <v>1066420</v>
      </c>
      <c r="D37" s="22">
        <v>0</v>
      </c>
      <c r="E37" s="23">
        <f t="shared" si="8"/>
        <v>1066420</v>
      </c>
      <c r="F37" s="22">
        <f>SUM(F38:F46)</f>
        <v>-11770</v>
      </c>
      <c r="G37" s="22">
        <v>0</v>
      </c>
      <c r="H37" s="23">
        <f t="shared" si="9"/>
        <v>-11770</v>
      </c>
      <c r="I37" s="23">
        <f t="shared" si="10"/>
        <v>1054650</v>
      </c>
      <c r="J37" s="23">
        <f t="shared" si="10"/>
        <v>0</v>
      </c>
      <c r="K37" s="23">
        <f t="shared" si="10"/>
        <v>1054650</v>
      </c>
    </row>
    <row r="38" spans="1:11" s="9" customFormat="1" ht="15" customHeight="1">
      <c r="A38" s="24" t="s">
        <v>38</v>
      </c>
      <c r="B38" s="9" t="s">
        <v>54</v>
      </c>
      <c r="C38" s="25">
        <v>111760</v>
      </c>
      <c r="D38" s="25">
        <v>0</v>
      </c>
      <c r="E38" s="26">
        <f t="shared" si="8"/>
        <v>111760</v>
      </c>
      <c r="F38" s="25">
        <v>-3750</v>
      </c>
      <c r="G38" s="25">
        <v>0</v>
      </c>
      <c r="H38" s="26">
        <f t="shared" si="9"/>
        <v>-3750</v>
      </c>
      <c r="I38" s="26">
        <f t="shared" si="10"/>
        <v>108010</v>
      </c>
      <c r="J38" s="26">
        <f t="shared" si="10"/>
        <v>0</v>
      </c>
      <c r="K38" s="26">
        <f t="shared" si="10"/>
        <v>108010</v>
      </c>
    </row>
    <row r="39" spans="1:11" s="9" customFormat="1" ht="15" customHeight="1">
      <c r="A39" s="24" t="s">
        <v>42</v>
      </c>
      <c r="B39" s="9" t="s">
        <v>43</v>
      </c>
      <c r="C39" s="25">
        <v>16740</v>
      </c>
      <c r="D39" s="25">
        <v>0</v>
      </c>
      <c r="E39" s="26">
        <f t="shared" si="8"/>
        <v>16740</v>
      </c>
      <c r="F39" s="25">
        <v>-160</v>
      </c>
      <c r="G39" s="25">
        <v>0</v>
      </c>
      <c r="H39" s="26">
        <f t="shared" si="9"/>
        <v>-160</v>
      </c>
      <c r="I39" s="26">
        <f t="shared" si="10"/>
        <v>16580</v>
      </c>
      <c r="J39" s="26">
        <f t="shared" si="10"/>
        <v>0</v>
      </c>
      <c r="K39" s="26">
        <f t="shared" si="10"/>
        <v>16580</v>
      </c>
    </row>
    <row r="40" spans="1:11" s="9" customFormat="1" ht="15" customHeight="1">
      <c r="A40" s="24" t="s">
        <v>49</v>
      </c>
      <c r="B40" s="9" t="s">
        <v>50</v>
      </c>
      <c r="C40" s="25">
        <v>6000</v>
      </c>
      <c r="D40" s="25">
        <v>0</v>
      </c>
      <c r="E40" s="26">
        <f t="shared" si="8"/>
        <v>6000</v>
      </c>
      <c r="F40" s="25">
        <v>-1680</v>
      </c>
      <c r="G40" s="25">
        <v>0</v>
      </c>
      <c r="H40" s="26">
        <f t="shared" si="9"/>
        <v>-1680</v>
      </c>
      <c r="I40" s="26">
        <f t="shared" si="10"/>
        <v>4320</v>
      </c>
      <c r="J40" s="26">
        <f t="shared" si="10"/>
        <v>0</v>
      </c>
      <c r="K40" s="26">
        <f t="shared" si="10"/>
        <v>4320</v>
      </c>
    </row>
    <row r="41" spans="1:11" s="39" customFormat="1" ht="13.5" customHeight="1">
      <c r="A41" s="40" t="s">
        <v>21</v>
      </c>
      <c r="B41" s="38" t="s">
        <v>22</v>
      </c>
      <c r="C41" s="35">
        <v>18000</v>
      </c>
      <c r="D41" s="35">
        <v>0</v>
      </c>
      <c r="E41" s="36">
        <f>SUM(C41:D41)</f>
        <v>18000</v>
      </c>
      <c r="F41" s="35">
        <v>-1000</v>
      </c>
      <c r="G41" s="35">
        <v>0</v>
      </c>
      <c r="H41" s="36">
        <f t="shared" si="9"/>
        <v>-1000</v>
      </c>
      <c r="I41" s="36">
        <f t="shared" si="10"/>
        <v>17000</v>
      </c>
      <c r="J41" s="36">
        <f t="shared" si="10"/>
        <v>0</v>
      </c>
      <c r="K41" s="36">
        <f t="shared" si="10"/>
        <v>17000</v>
      </c>
    </row>
    <row r="42" spans="1:11" s="9" customFormat="1" ht="13.5" customHeight="1">
      <c r="A42" s="24" t="s">
        <v>18</v>
      </c>
      <c r="B42" s="9" t="s">
        <v>19</v>
      </c>
      <c r="C42" s="25">
        <v>10000</v>
      </c>
      <c r="D42" s="25">
        <v>0</v>
      </c>
      <c r="E42" s="26">
        <f>SUM(C42:D42)</f>
        <v>10000</v>
      </c>
      <c r="F42" s="25">
        <v>-1500</v>
      </c>
      <c r="G42" s="25">
        <v>0</v>
      </c>
      <c r="H42" s="26">
        <f t="shared" si="9"/>
        <v>-1500</v>
      </c>
      <c r="I42" s="26">
        <f t="shared" si="10"/>
        <v>8500</v>
      </c>
      <c r="J42" s="26">
        <f t="shared" si="10"/>
        <v>0</v>
      </c>
      <c r="K42" s="26">
        <f t="shared" si="10"/>
        <v>8500</v>
      </c>
    </row>
    <row r="43" spans="1:11" s="9" customFormat="1" ht="13.5" customHeight="1">
      <c r="A43" s="24" t="s">
        <v>27</v>
      </c>
      <c r="B43" s="9" t="s">
        <v>28</v>
      </c>
      <c r="C43" s="25">
        <v>155850</v>
      </c>
      <c r="D43" s="25">
        <v>0</v>
      </c>
      <c r="E43" s="26">
        <f>SUM(C43:D43)</f>
        <v>155850</v>
      </c>
      <c r="F43" s="25">
        <v>-2000</v>
      </c>
      <c r="G43" s="25">
        <v>0</v>
      </c>
      <c r="H43" s="26">
        <f t="shared" si="9"/>
        <v>-2000</v>
      </c>
      <c r="I43" s="26">
        <f t="shared" si="10"/>
        <v>153850</v>
      </c>
      <c r="J43" s="26">
        <f t="shared" si="10"/>
        <v>0</v>
      </c>
      <c r="K43" s="26">
        <f t="shared" si="10"/>
        <v>153850</v>
      </c>
    </row>
    <row r="44" spans="1:11" s="9" customFormat="1" ht="15" customHeight="1">
      <c r="A44" s="24" t="s">
        <v>120</v>
      </c>
      <c r="B44" s="9" t="s">
        <v>121</v>
      </c>
      <c r="C44" s="25">
        <v>10000</v>
      </c>
      <c r="D44" s="25">
        <v>0</v>
      </c>
      <c r="E44" s="26">
        <f t="shared" si="8"/>
        <v>10000</v>
      </c>
      <c r="F44" s="25">
        <v>-500</v>
      </c>
      <c r="G44" s="25">
        <v>0</v>
      </c>
      <c r="H44" s="26">
        <f t="shared" si="9"/>
        <v>-500</v>
      </c>
      <c r="I44" s="26">
        <f t="shared" si="10"/>
        <v>9500</v>
      </c>
      <c r="J44" s="26">
        <f t="shared" si="10"/>
        <v>0</v>
      </c>
      <c r="K44" s="26">
        <f t="shared" si="10"/>
        <v>9500</v>
      </c>
    </row>
    <row r="45" spans="1:11" s="9" customFormat="1" ht="15" customHeight="1">
      <c r="A45" s="24" t="s">
        <v>29</v>
      </c>
      <c r="B45" s="9" t="s">
        <v>30</v>
      </c>
      <c r="C45" s="25">
        <v>13000</v>
      </c>
      <c r="D45" s="25">
        <v>0</v>
      </c>
      <c r="E45" s="26">
        <f t="shared" si="8"/>
        <v>13000</v>
      </c>
      <c r="F45" s="25">
        <v>-880</v>
      </c>
      <c r="G45" s="25">
        <v>0</v>
      </c>
      <c r="H45" s="26">
        <f t="shared" si="9"/>
        <v>-880</v>
      </c>
      <c r="I45" s="26">
        <f t="shared" si="10"/>
        <v>12120</v>
      </c>
      <c r="J45" s="26">
        <f t="shared" si="10"/>
        <v>0</v>
      </c>
      <c r="K45" s="26">
        <f t="shared" si="10"/>
        <v>12120</v>
      </c>
    </row>
    <row r="46" spans="1:11" s="39" customFormat="1" ht="13.5" customHeight="1">
      <c r="A46" s="40" t="s">
        <v>116</v>
      </c>
      <c r="B46" s="38" t="s">
        <v>117</v>
      </c>
      <c r="C46" s="35">
        <v>29500</v>
      </c>
      <c r="D46" s="35">
        <v>0</v>
      </c>
      <c r="E46" s="36">
        <f>SUM(C46:D46)</f>
        <v>29500</v>
      </c>
      <c r="F46" s="35">
        <v>-300</v>
      </c>
      <c r="G46" s="35">
        <v>0</v>
      </c>
      <c r="H46" s="36">
        <f>F46+G46</f>
        <v>-300</v>
      </c>
      <c r="I46" s="36">
        <f t="shared" si="10"/>
        <v>29200</v>
      </c>
      <c r="J46" s="36">
        <f t="shared" si="10"/>
        <v>0</v>
      </c>
      <c r="K46" s="36">
        <f t="shared" si="10"/>
        <v>29200</v>
      </c>
    </row>
    <row r="47" spans="1:11" s="6" customFormat="1" ht="15" customHeight="1">
      <c r="A47" s="2" t="s">
        <v>85</v>
      </c>
      <c r="B47" s="13" t="s">
        <v>86</v>
      </c>
      <c r="C47" s="14">
        <v>15812350</v>
      </c>
      <c r="D47" s="14">
        <v>438592</v>
      </c>
      <c r="E47" s="5">
        <f>SUM(C47:D47)</f>
        <v>16250942</v>
      </c>
      <c r="F47" s="14">
        <f>F50</f>
        <v>-18705</v>
      </c>
      <c r="G47" s="14">
        <f>G50</f>
        <v>0</v>
      </c>
      <c r="H47" s="5">
        <f>F47+G47</f>
        <v>-18705</v>
      </c>
      <c r="I47" s="5">
        <f>C47+F47</f>
        <v>15793645</v>
      </c>
      <c r="J47" s="5">
        <f>D47+G47</f>
        <v>438592</v>
      </c>
      <c r="K47" s="5">
        <f>E47+H47</f>
        <v>16232237</v>
      </c>
    </row>
    <row r="48" spans="1:11" s="9" customFormat="1" ht="15" customHeight="1">
      <c r="A48" s="15"/>
      <c r="B48" s="16" t="s">
        <v>12</v>
      </c>
      <c r="C48" s="17"/>
      <c r="D48" s="17"/>
      <c r="E48" s="8"/>
      <c r="F48" s="17"/>
      <c r="G48" s="17"/>
      <c r="H48" s="8"/>
      <c r="I48" s="8"/>
      <c r="J48" s="8"/>
      <c r="K48" s="8"/>
    </row>
    <row r="49" spans="1:11" s="12" customFormat="1" ht="15" customHeight="1">
      <c r="A49" s="18"/>
      <c r="B49" s="19" t="s">
        <v>13</v>
      </c>
      <c r="C49" s="20">
        <v>812925</v>
      </c>
      <c r="D49" s="20">
        <v>0</v>
      </c>
      <c r="E49" s="11">
        <f aca="true" t="shared" si="11" ref="E49:E63">SUM(C49:D49)</f>
        <v>812925</v>
      </c>
      <c r="F49" s="20">
        <v>0</v>
      </c>
      <c r="G49" s="20">
        <f>G56</f>
        <v>0</v>
      </c>
      <c r="H49" s="11">
        <f aca="true" t="shared" si="12" ref="H49:H63">F49+G49</f>
        <v>0</v>
      </c>
      <c r="I49" s="11">
        <f aca="true" t="shared" si="13" ref="I49:K50">C49+F49</f>
        <v>812925</v>
      </c>
      <c r="J49" s="11">
        <f t="shared" si="13"/>
        <v>0</v>
      </c>
      <c r="K49" s="11">
        <f t="shared" si="13"/>
        <v>812925</v>
      </c>
    </row>
    <row r="50" spans="1:11" s="28" customFormat="1" ht="15" customHeight="1">
      <c r="A50" s="27">
        <v>75023</v>
      </c>
      <c r="B50" s="28" t="s">
        <v>87</v>
      </c>
      <c r="C50" s="22">
        <v>14598916</v>
      </c>
      <c r="D50" s="22">
        <v>0</v>
      </c>
      <c r="E50" s="23">
        <f t="shared" si="11"/>
        <v>14598916</v>
      </c>
      <c r="F50" s="29">
        <f>SUM(F51:F56)</f>
        <v>-18705</v>
      </c>
      <c r="G50" s="29">
        <f>G56</f>
        <v>0</v>
      </c>
      <c r="H50" s="23">
        <f t="shared" si="12"/>
        <v>-18705</v>
      </c>
      <c r="I50" s="23">
        <f t="shared" si="13"/>
        <v>14580211</v>
      </c>
      <c r="J50" s="23">
        <f t="shared" si="13"/>
        <v>0</v>
      </c>
      <c r="K50" s="23">
        <f t="shared" si="13"/>
        <v>14580211</v>
      </c>
    </row>
    <row r="51" spans="1:11" s="31" customFormat="1" ht="15" customHeight="1">
      <c r="A51" s="30" t="s">
        <v>36</v>
      </c>
      <c r="B51" s="31" t="s">
        <v>50</v>
      </c>
      <c r="C51" s="25">
        <v>8660612</v>
      </c>
      <c r="D51" s="25">
        <v>0</v>
      </c>
      <c r="E51" s="26">
        <f>SUM(C51:D51)</f>
        <v>8660612</v>
      </c>
      <c r="F51" s="32">
        <v>-4100</v>
      </c>
      <c r="G51" s="32">
        <v>0</v>
      </c>
      <c r="H51" s="26">
        <f>F51+G51</f>
        <v>-4100</v>
      </c>
      <c r="I51" s="26">
        <f aca="true" t="shared" si="14" ref="I51:K54">C51+F51</f>
        <v>8656512</v>
      </c>
      <c r="J51" s="26">
        <f t="shared" si="14"/>
        <v>0</v>
      </c>
      <c r="K51" s="26">
        <f t="shared" si="14"/>
        <v>8656512</v>
      </c>
    </row>
    <row r="52" spans="1:11" s="38" customFormat="1" ht="15" customHeight="1">
      <c r="A52" s="40" t="s">
        <v>40</v>
      </c>
      <c r="B52" s="38" t="s">
        <v>41</v>
      </c>
      <c r="C52" s="35">
        <v>590000</v>
      </c>
      <c r="D52" s="35">
        <v>0</v>
      </c>
      <c r="E52" s="36">
        <f>SUM(C52:D52)</f>
        <v>590000</v>
      </c>
      <c r="F52" s="35">
        <v>-45000</v>
      </c>
      <c r="G52" s="35">
        <v>0</v>
      </c>
      <c r="H52" s="36">
        <f>F52+G52</f>
        <v>-45000</v>
      </c>
      <c r="I52" s="36">
        <f t="shared" si="14"/>
        <v>545000</v>
      </c>
      <c r="J52" s="36">
        <f t="shared" si="14"/>
        <v>0</v>
      </c>
      <c r="K52" s="36">
        <f t="shared" si="14"/>
        <v>545000</v>
      </c>
    </row>
    <row r="53" spans="1:11" s="31" customFormat="1" ht="15" customHeight="1">
      <c r="A53" s="30" t="s">
        <v>21</v>
      </c>
      <c r="B53" s="31" t="s">
        <v>22</v>
      </c>
      <c r="C53" s="25">
        <v>215000</v>
      </c>
      <c r="D53" s="25">
        <v>0</v>
      </c>
      <c r="E53" s="26">
        <f>SUM(C53:D53)</f>
        <v>215000</v>
      </c>
      <c r="F53" s="32">
        <v>35000</v>
      </c>
      <c r="G53" s="32">
        <v>0</v>
      </c>
      <c r="H53" s="26">
        <f>F53+G53</f>
        <v>35000</v>
      </c>
      <c r="I53" s="26">
        <f t="shared" si="14"/>
        <v>250000</v>
      </c>
      <c r="J53" s="26">
        <f t="shared" si="14"/>
        <v>0</v>
      </c>
      <c r="K53" s="26">
        <f t="shared" si="14"/>
        <v>250000</v>
      </c>
    </row>
    <row r="54" spans="1:11" s="31" customFormat="1" ht="15" customHeight="1">
      <c r="A54" s="30" t="s">
        <v>18</v>
      </c>
      <c r="B54" s="31" t="s">
        <v>19</v>
      </c>
      <c r="C54" s="25">
        <v>81380</v>
      </c>
      <c r="D54" s="25">
        <v>0</v>
      </c>
      <c r="E54" s="26">
        <f>SUM(C54:D54)</f>
        <v>81380</v>
      </c>
      <c r="F54" s="32">
        <v>10000</v>
      </c>
      <c r="G54" s="32">
        <v>0</v>
      </c>
      <c r="H54" s="26">
        <f>F54+G54</f>
        <v>10000</v>
      </c>
      <c r="I54" s="26">
        <f t="shared" si="14"/>
        <v>91380</v>
      </c>
      <c r="J54" s="26">
        <f t="shared" si="14"/>
        <v>0</v>
      </c>
      <c r="K54" s="26">
        <f t="shared" si="14"/>
        <v>91380</v>
      </c>
    </row>
    <row r="55" spans="1:11" s="31" customFormat="1" ht="15" customHeight="1">
      <c r="A55" s="30" t="s">
        <v>27</v>
      </c>
      <c r="B55" s="31" t="s">
        <v>28</v>
      </c>
      <c r="C55" s="25">
        <v>1390619</v>
      </c>
      <c r="D55" s="25">
        <v>0</v>
      </c>
      <c r="E55" s="26">
        <f t="shared" si="11"/>
        <v>1390619</v>
      </c>
      <c r="F55" s="32">
        <f>-18705</f>
        <v>-18705</v>
      </c>
      <c r="G55" s="32">
        <v>0</v>
      </c>
      <c r="H55" s="26">
        <f t="shared" si="12"/>
        <v>-18705</v>
      </c>
      <c r="I55" s="26">
        <f aca="true" t="shared" si="15" ref="I55:K63">C55+F55</f>
        <v>1371914</v>
      </c>
      <c r="J55" s="26">
        <f t="shared" si="15"/>
        <v>0</v>
      </c>
      <c r="K55" s="26">
        <f t="shared" si="15"/>
        <v>1371914</v>
      </c>
    </row>
    <row r="56" spans="1:11" s="31" customFormat="1" ht="15" customHeight="1">
      <c r="A56" s="30" t="s">
        <v>107</v>
      </c>
      <c r="B56" s="31" t="s">
        <v>108</v>
      </c>
      <c r="C56" s="25">
        <v>426</v>
      </c>
      <c r="D56" s="25">
        <v>0</v>
      </c>
      <c r="E56" s="26">
        <f t="shared" si="11"/>
        <v>426</v>
      </c>
      <c r="F56" s="32">
        <v>4100</v>
      </c>
      <c r="G56" s="32">
        <v>0</v>
      </c>
      <c r="H56" s="26">
        <f t="shared" si="12"/>
        <v>4100</v>
      </c>
      <c r="I56" s="26">
        <f t="shared" si="15"/>
        <v>4526</v>
      </c>
      <c r="J56" s="26">
        <f t="shared" si="15"/>
        <v>0</v>
      </c>
      <c r="K56" s="26">
        <f t="shared" si="15"/>
        <v>4526</v>
      </c>
    </row>
    <row r="57" spans="1:11" s="80" customFormat="1" ht="13.5" customHeight="1">
      <c r="A57" s="79">
        <v>75075</v>
      </c>
      <c r="B57" s="80" t="s">
        <v>109</v>
      </c>
      <c r="C57" s="81">
        <v>384234</v>
      </c>
      <c r="D57" s="81">
        <v>0</v>
      </c>
      <c r="E57" s="49">
        <f t="shared" si="11"/>
        <v>384234</v>
      </c>
      <c r="F57" s="81">
        <f>SUM(F58:F59)</f>
        <v>0</v>
      </c>
      <c r="G57" s="81">
        <f>SUM(G59:G59)</f>
        <v>0</v>
      </c>
      <c r="H57" s="49">
        <f t="shared" si="12"/>
        <v>0</v>
      </c>
      <c r="I57" s="49">
        <f t="shared" si="15"/>
        <v>384234</v>
      </c>
      <c r="J57" s="49">
        <f t="shared" si="15"/>
        <v>0</v>
      </c>
      <c r="K57" s="49">
        <f t="shared" si="15"/>
        <v>384234</v>
      </c>
    </row>
    <row r="58" spans="1:11" s="38" customFormat="1" ht="15" customHeight="1">
      <c r="A58" s="33" t="s">
        <v>27</v>
      </c>
      <c r="B58" s="34" t="s">
        <v>28</v>
      </c>
      <c r="C58" s="37">
        <v>323325</v>
      </c>
      <c r="D58" s="37">
        <v>0</v>
      </c>
      <c r="E58" s="36">
        <f t="shared" si="11"/>
        <v>323325</v>
      </c>
      <c r="F58" s="37">
        <v>-12200</v>
      </c>
      <c r="G58" s="37">
        <v>0</v>
      </c>
      <c r="H58" s="36">
        <f t="shared" si="12"/>
        <v>-12200</v>
      </c>
      <c r="I58" s="36">
        <f t="shared" si="15"/>
        <v>311125</v>
      </c>
      <c r="J58" s="36">
        <f t="shared" si="15"/>
        <v>0</v>
      </c>
      <c r="K58" s="36">
        <f t="shared" si="15"/>
        <v>311125</v>
      </c>
    </row>
    <row r="59" spans="1:11" s="134" customFormat="1" ht="13.5" customHeight="1">
      <c r="A59" s="133" t="s">
        <v>23</v>
      </c>
      <c r="B59" s="134" t="s">
        <v>24</v>
      </c>
      <c r="C59" s="132">
        <v>0</v>
      </c>
      <c r="D59" s="132">
        <v>0</v>
      </c>
      <c r="E59" s="44">
        <f t="shared" si="11"/>
        <v>0</v>
      </c>
      <c r="F59" s="132">
        <v>12200</v>
      </c>
      <c r="G59" s="132">
        <v>0</v>
      </c>
      <c r="H59" s="44">
        <f t="shared" si="12"/>
        <v>12200</v>
      </c>
      <c r="I59" s="44">
        <f t="shared" si="15"/>
        <v>12200</v>
      </c>
      <c r="J59" s="44">
        <f t="shared" si="15"/>
        <v>0</v>
      </c>
      <c r="K59" s="44">
        <f t="shared" si="15"/>
        <v>12200</v>
      </c>
    </row>
    <row r="60" spans="1:11" s="84" customFormat="1" ht="13.5" customHeight="1">
      <c r="A60" s="83"/>
      <c r="C60" s="85"/>
      <c r="D60" s="85"/>
      <c r="E60" s="36"/>
      <c r="F60" s="85"/>
      <c r="G60" s="85"/>
      <c r="H60" s="36"/>
      <c r="I60" s="36"/>
      <c r="J60" s="36"/>
      <c r="K60" s="36"/>
    </row>
    <row r="61" spans="1:11" s="93" customFormat="1" ht="15" customHeight="1">
      <c r="A61" s="92">
        <v>75095</v>
      </c>
      <c r="B61" s="93" t="s">
        <v>110</v>
      </c>
      <c r="C61" s="94">
        <v>320900</v>
      </c>
      <c r="D61" s="94">
        <v>0</v>
      </c>
      <c r="E61" s="23">
        <f t="shared" si="11"/>
        <v>320900</v>
      </c>
      <c r="F61" s="95">
        <f>SUM(F62:F63)</f>
        <v>0</v>
      </c>
      <c r="G61" s="95">
        <v>0</v>
      </c>
      <c r="H61" s="23">
        <f t="shared" si="12"/>
        <v>0</v>
      </c>
      <c r="I61" s="23">
        <f t="shared" si="15"/>
        <v>320900</v>
      </c>
      <c r="J61" s="23">
        <f t="shared" si="15"/>
        <v>0</v>
      </c>
      <c r="K61" s="23">
        <f t="shared" si="15"/>
        <v>320900</v>
      </c>
    </row>
    <row r="62" spans="1:11" s="124" customFormat="1" ht="15" customHeight="1">
      <c r="A62" s="123" t="s">
        <v>128</v>
      </c>
      <c r="B62" s="124" t="s">
        <v>189</v>
      </c>
      <c r="C62" s="91">
        <v>44940</v>
      </c>
      <c r="D62" s="91">
        <v>0</v>
      </c>
      <c r="E62" s="26">
        <f t="shared" si="11"/>
        <v>44940</v>
      </c>
      <c r="F62" s="125">
        <v>-250</v>
      </c>
      <c r="G62" s="125">
        <v>0</v>
      </c>
      <c r="H62" s="26">
        <f t="shared" si="12"/>
        <v>-250</v>
      </c>
      <c r="I62" s="26">
        <f t="shared" si="15"/>
        <v>44690</v>
      </c>
      <c r="J62" s="26">
        <f t="shared" si="15"/>
        <v>0</v>
      </c>
      <c r="K62" s="26">
        <f t="shared" si="15"/>
        <v>44690</v>
      </c>
    </row>
    <row r="63" spans="1:11" s="84" customFormat="1" ht="15" customHeight="1">
      <c r="A63" s="86" t="s">
        <v>38</v>
      </c>
      <c r="B63" s="87" t="s">
        <v>39</v>
      </c>
      <c r="C63" s="88">
        <v>7586</v>
      </c>
      <c r="D63" s="88">
        <v>0</v>
      </c>
      <c r="E63" s="36">
        <f t="shared" si="11"/>
        <v>7586</v>
      </c>
      <c r="F63" s="88">
        <v>250</v>
      </c>
      <c r="G63" s="88">
        <v>0</v>
      </c>
      <c r="H63" s="36">
        <f t="shared" si="12"/>
        <v>250</v>
      </c>
      <c r="I63" s="36">
        <f t="shared" si="15"/>
        <v>7836</v>
      </c>
      <c r="J63" s="36">
        <f t="shared" si="15"/>
        <v>0</v>
      </c>
      <c r="K63" s="36">
        <f t="shared" si="15"/>
        <v>7836</v>
      </c>
    </row>
    <row r="64" spans="1:11" s="6" customFormat="1" ht="13.5" customHeight="1">
      <c r="A64" s="2" t="s">
        <v>25</v>
      </c>
      <c r="B64" s="13" t="s">
        <v>26</v>
      </c>
      <c r="C64" s="14">
        <v>1928871</v>
      </c>
      <c r="D64" s="14">
        <v>3000</v>
      </c>
      <c r="E64" s="5">
        <f>SUM(C64:D64)</f>
        <v>1931871</v>
      </c>
      <c r="F64" s="14">
        <v>0</v>
      </c>
      <c r="G64" s="14">
        <v>0</v>
      </c>
      <c r="H64" s="5">
        <f>F64+G64</f>
        <v>0</v>
      </c>
      <c r="I64" s="5">
        <f>C64+F64</f>
        <v>1928871</v>
      </c>
      <c r="J64" s="5">
        <f>D64+G64</f>
        <v>3000</v>
      </c>
      <c r="K64" s="5">
        <f>E64+H64</f>
        <v>1931871</v>
      </c>
    </row>
    <row r="65" spans="1:11" s="9" customFormat="1" ht="12" customHeight="1">
      <c r="A65" s="15"/>
      <c r="B65" s="16" t="s">
        <v>12</v>
      </c>
      <c r="C65" s="17"/>
      <c r="D65" s="17"/>
      <c r="E65" s="8"/>
      <c r="F65" s="17"/>
      <c r="G65" s="17"/>
      <c r="H65" s="8"/>
      <c r="I65" s="8"/>
      <c r="J65" s="8"/>
      <c r="K65" s="8"/>
    </row>
    <row r="66" spans="1:11" s="12" customFormat="1" ht="13.5" customHeight="1">
      <c r="A66" s="18"/>
      <c r="B66" s="19" t="s">
        <v>13</v>
      </c>
      <c r="C66" s="20">
        <v>79290</v>
      </c>
      <c r="D66" s="20">
        <v>0</v>
      </c>
      <c r="E66" s="11">
        <f aca="true" t="shared" si="16" ref="E66:E76">SUM(C66:D66)</f>
        <v>79290</v>
      </c>
      <c r="F66" s="20">
        <v>0</v>
      </c>
      <c r="G66" s="20">
        <v>0</v>
      </c>
      <c r="H66" s="11">
        <f aca="true" t="shared" si="17" ref="H66:H74">F66+G66</f>
        <v>0</v>
      </c>
      <c r="I66" s="11">
        <f aca="true" t="shared" si="18" ref="I66:K71">C66+F66</f>
        <v>79290</v>
      </c>
      <c r="J66" s="11">
        <f t="shared" si="18"/>
        <v>0</v>
      </c>
      <c r="K66" s="11">
        <f t="shared" si="18"/>
        <v>79290</v>
      </c>
    </row>
    <row r="67" spans="1:11" s="93" customFormat="1" ht="15" customHeight="1">
      <c r="A67" s="92">
        <v>75414</v>
      </c>
      <c r="B67" s="93" t="s">
        <v>169</v>
      </c>
      <c r="C67" s="94">
        <v>34770</v>
      </c>
      <c r="D67" s="94">
        <v>3000</v>
      </c>
      <c r="E67" s="23">
        <f t="shared" si="16"/>
        <v>37770</v>
      </c>
      <c r="F67" s="95">
        <f>SUM(F68:F71)</f>
        <v>0</v>
      </c>
      <c r="G67" s="95">
        <v>0</v>
      </c>
      <c r="H67" s="23">
        <f t="shared" si="17"/>
        <v>0</v>
      </c>
      <c r="I67" s="23">
        <f t="shared" si="18"/>
        <v>34770</v>
      </c>
      <c r="J67" s="23">
        <f t="shared" si="18"/>
        <v>3000</v>
      </c>
      <c r="K67" s="23">
        <f t="shared" si="18"/>
        <v>37770</v>
      </c>
    </row>
    <row r="68" spans="1:11" s="38" customFormat="1" ht="15" customHeight="1">
      <c r="A68" s="40" t="s">
        <v>38</v>
      </c>
      <c r="B68" s="38" t="s">
        <v>39</v>
      </c>
      <c r="C68" s="35">
        <v>0</v>
      </c>
      <c r="D68" s="35">
        <v>0</v>
      </c>
      <c r="E68" s="36">
        <f t="shared" si="16"/>
        <v>0</v>
      </c>
      <c r="F68" s="35">
        <v>350</v>
      </c>
      <c r="G68" s="35">
        <v>0</v>
      </c>
      <c r="H68" s="36">
        <f t="shared" si="17"/>
        <v>350</v>
      </c>
      <c r="I68" s="36">
        <f t="shared" si="18"/>
        <v>350</v>
      </c>
      <c r="J68" s="36">
        <f t="shared" si="18"/>
        <v>0</v>
      </c>
      <c r="K68" s="36">
        <f t="shared" si="18"/>
        <v>350</v>
      </c>
    </row>
    <row r="69" spans="1:11" s="38" customFormat="1" ht="15" customHeight="1">
      <c r="A69" s="40" t="s">
        <v>42</v>
      </c>
      <c r="B69" s="38" t="s">
        <v>43</v>
      </c>
      <c r="C69" s="35">
        <v>0</v>
      </c>
      <c r="D69" s="35">
        <v>0</v>
      </c>
      <c r="E69" s="36">
        <f t="shared" si="16"/>
        <v>0</v>
      </c>
      <c r="F69" s="35">
        <v>70</v>
      </c>
      <c r="G69" s="35">
        <v>0</v>
      </c>
      <c r="H69" s="36">
        <f t="shared" si="17"/>
        <v>70</v>
      </c>
      <c r="I69" s="36">
        <f t="shared" si="18"/>
        <v>70</v>
      </c>
      <c r="J69" s="36">
        <f t="shared" si="18"/>
        <v>0</v>
      </c>
      <c r="K69" s="36">
        <f t="shared" si="18"/>
        <v>70</v>
      </c>
    </row>
    <row r="70" spans="1:11" s="87" customFormat="1" ht="15" customHeight="1">
      <c r="A70" s="86" t="s">
        <v>40</v>
      </c>
      <c r="B70" s="87" t="s">
        <v>41</v>
      </c>
      <c r="C70" s="85">
        <v>20684</v>
      </c>
      <c r="D70" s="85">
        <v>0</v>
      </c>
      <c r="E70" s="36">
        <f t="shared" si="16"/>
        <v>20684</v>
      </c>
      <c r="F70" s="88">
        <v>500</v>
      </c>
      <c r="G70" s="88">
        <v>0</v>
      </c>
      <c r="H70" s="36">
        <f t="shared" si="17"/>
        <v>500</v>
      </c>
      <c r="I70" s="36">
        <f t="shared" si="18"/>
        <v>21184</v>
      </c>
      <c r="J70" s="36">
        <f t="shared" si="18"/>
        <v>0</v>
      </c>
      <c r="K70" s="36">
        <f t="shared" si="18"/>
        <v>21184</v>
      </c>
    </row>
    <row r="71" spans="1:11" s="87" customFormat="1" ht="15" customHeight="1">
      <c r="A71" s="86" t="s">
        <v>27</v>
      </c>
      <c r="B71" s="87" t="s">
        <v>28</v>
      </c>
      <c r="C71" s="85">
        <v>7686</v>
      </c>
      <c r="D71" s="85">
        <v>3000</v>
      </c>
      <c r="E71" s="36">
        <f t="shared" si="16"/>
        <v>10686</v>
      </c>
      <c r="F71" s="88">
        <f>-500-420</f>
        <v>-920</v>
      </c>
      <c r="G71" s="88">
        <v>0</v>
      </c>
      <c r="H71" s="36">
        <f t="shared" si="17"/>
        <v>-920</v>
      </c>
      <c r="I71" s="36">
        <f t="shared" si="18"/>
        <v>6766</v>
      </c>
      <c r="J71" s="36">
        <f t="shared" si="18"/>
        <v>3000</v>
      </c>
      <c r="K71" s="36">
        <f t="shared" si="18"/>
        <v>9766</v>
      </c>
    </row>
    <row r="72" spans="1:11" s="28" customFormat="1" ht="15" customHeight="1">
      <c r="A72" s="27">
        <v>75495</v>
      </c>
      <c r="B72" s="28" t="s">
        <v>110</v>
      </c>
      <c r="C72" s="22">
        <v>350295</v>
      </c>
      <c r="D72" s="22">
        <v>0</v>
      </c>
      <c r="E72" s="23">
        <f t="shared" si="16"/>
        <v>350295</v>
      </c>
      <c r="F72" s="29">
        <f>SUM(F73:F75)</f>
        <v>0</v>
      </c>
      <c r="G72" s="29">
        <f>SUM(G75:G75)</f>
        <v>0</v>
      </c>
      <c r="H72" s="23">
        <f t="shared" si="17"/>
        <v>0</v>
      </c>
      <c r="I72" s="23">
        <f aca="true" t="shared" si="19" ref="I72:K74">C72+F72</f>
        <v>350295</v>
      </c>
      <c r="J72" s="23">
        <f t="shared" si="19"/>
        <v>0</v>
      </c>
      <c r="K72" s="23">
        <f t="shared" si="19"/>
        <v>350295</v>
      </c>
    </row>
    <row r="73" spans="1:11" s="38" customFormat="1" ht="15" customHeight="1">
      <c r="A73" s="40" t="s">
        <v>49</v>
      </c>
      <c r="B73" s="38" t="s">
        <v>50</v>
      </c>
      <c r="C73" s="35">
        <v>0</v>
      </c>
      <c r="D73" s="35">
        <v>0</v>
      </c>
      <c r="E73" s="36">
        <f t="shared" si="16"/>
        <v>0</v>
      </c>
      <c r="F73" s="35">
        <v>2500</v>
      </c>
      <c r="G73" s="35">
        <v>0</v>
      </c>
      <c r="H73" s="36">
        <f t="shared" si="17"/>
        <v>2500</v>
      </c>
      <c r="I73" s="36">
        <f t="shared" si="19"/>
        <v>2500</v>
      </c>
      <c r="J73" s="36">
        <f t="shared" si="19"/>
        <v>0</v>
      </c>
      <c r="K73" s="36">
        <f t="shared" si="19"/>
        <v>2500</v>
      </c>
    </row>
    <row r="74" spans="1:11" s="38" customFormat="1" ht="15" customHeight="1">
      <c r="A74" s="40" t="s">
        <v>40</v>
      </c>
      <c r="B74" s="38" t="s">
        <v>41</v>
      </c>
      <c r="C74" s="35">
        <v>26250</v>
      </c>
      <c r="D74" s="35">
        <v>0</v>
      </c>
      <c r="E74" s="36">
        <f t="shared" si="16"/>
        <v>26250</v>
      </c>
      <c r="F74" s="35">
        <v>-8500</v>
      </c>
      <c r="G74" s="35">
        <v>0</v>
      </c>
      <c r="H74" s="36">
        <f t="shared" si="17"/>
        <v>-8500</v>
      </c>
      <c r="I74" s="36">
        <f t="shared" si="19"/>
        <v>17750</v>
      </c>
      <c r="J74" s="36">
        <f t="shared" si="19"/>
        <v>0</v>
      </c>
      <c r="K74" s="36">
        <f t="shared" si="19"/>
        <v>17750</v>
      </c>
    </row>
    <row r="75" spans="1:11" s="76" customFormat="1" ht="15" customHeight="1">
      <c r="A75" s="75" t="s">
        <v>27</v>
      </c>
      <c r="B75" s="76" t="s">
        <v>28</v>
      </c>
      <c r="C75" s="58">
        <v>195045</v>
      </c>
      <c r="D75" s="58">
        <v>0</v>
      </c>
      <c r="E75" s="59">
        <f t="shared" si="16"/>
        <v>195045</v>
      </c>
      <c r="F75" s="77">
        <v>6000</v>
      </c>
      <c r="G75" s="77">
        <v>0</v>
      </c>
      <c r="H75" s="59">
        <f>F75+G75</f>
        <v>6000</v>
      </c>
      <c r="I75" s="59">
        <f aca="true" t="shared" si="20" ref="I75:K76">C75+F75</f>
        <v>201045</v>
      </c>
      <c r="J75" s="59">
        <f t="shared" si="20"/>
        <v>0</v>
      </c>
      <c r="K75" s="59">
        <f t="shared" si="20"/>
        <v>201045</v>
      </c>
    </row>
    <row r="76" spans="1:11" s="115" customFormat="1" ht="17.25" customHeight="1">
      <c r="A76" s="112" t="s">
        <v>172</v>
      </c>
      <c r="B76" s="113" t="s">
        <v>173</v>
      </c>
      <c r="C76" s="114">
        <v>69000</v>
      </c>
      <c r="D76" s="114">
        <v>0</v>
      </c>
      <c r="E76" s="5">
        <f t="shared" si="16"/>
        <v>69000</v>
      </c>
      <c r="F76" s="114">
        <f>F79</f>
        <v>10000</v>
      </c>
      <c r="G76" s="114">
        <v>0</v>
      </c>
      <c r="H76" s="5">
        <f>F76+G76</f>
        <v>10000</v>
      </c>
      <c r="I76" s="5">
        <f t="shared" si="20"/>
        <v>79000</v>
      </c>
      <c r="J76" s="5">
        <f t="shared" si="20"/>
        <v>0</v>
      </c>
      <c r="K76" s="5">
        <f t="shared" si="20"/>
        <v>79000</v>
      </c>
    </row>
    <row r="77" spans="1:11" s="119" customFormat="1" ht="14.25" customHeight="1">
      <c r="A77" s="116"/>
      <c r="B77" s="117" t="s">
        <v>12</v>
      </c>
      <c r="C77" s="118"/>
      <c r="D77" s="118"/>
      <c r="E77" s="8"/>
      <c r="F77" s="118"/>
      <c r="G77" s="118"/>
      <c r="H77" s="8"/>
      <c r="I77" s="8"/>
      <c r="J77" s="8"/>
      <c r="K77" s="8"/>
    </row>
    <row r="78" spans="1:11" s="122" customFormat="1" ht="15" customHeight="1">
      <c r="A78" s="120"/>
      <c r="B78" s="10" t="s">
        <v>114</v>
      </c>
      <c r="C78" s="121">
        <v>0</v>
      </c>
      <c r="D78" s="121">
        <v>0</v>
      </c>
      <c r="E78" s="11">
        <f>SUM(C78:D78)</f>
        <v>0</v>
      </c>
      <c r="F78" s="121">
        <v>0</v>
      </c>
      <c r="G78" s="121">
        <v>0</v>
      </c>
      <c r="H78" s="11">
        <f>F78+G78</f>
        <v>0</v>
      </c>
      <c r="I78" s="11">
        <f aca="true" t="shared" si="21" ref="I78:K81">C78+F78</f>
        <v>0</v>
      </c>
      <c r="J78" s="11">
        <f t="shared" si="21"/>
        <v>0</v>
      </c>
      <c r="K78" s="11">
        <f t="shared" si="21"/>
        <v>0</v>
      </c>
    </row>
    <row r="79" spans="1:11" s="93" customFormat="1" ht="15" customHeight="1">
      <c r="A79" s="92">
        <v>75647</v>
      </c>
      <c r="B79" s="93" t="s">
        <v>174</v>
      </c>
      <c r="C79" s="94">
        <v>69000</v>
      </c>
      <c r="D79" s="94">
        <v>0</v>
      </c>
      <c r="E79" s="23">
        <f>SUM(C79:D79)</f>
        <v>69000</v>
      </c>
      <c r="F79" s="95">
        <f>SUM(F80:F80)</f>
        <v>10000</v>
      </c>
      <c r="G79" s="95">
        <v>0</v>
      </c>
      <c r="H79" s="23">
        <f>F79+G79</f>
        <v>10000</v>
      </c>
      <c r="I79" s="23">
        <f t="shared" si="21"/>
        <v>79000</v>
      </c>
      <c r="J79" s="23">
        <f t="shared" si="21"/>
        <v>0</v>
      </c>
      <c r="K79" s="23">
        <f t="shared" si="21"/>
        <v>79000</v>
      </c>
    </row>
    <row r="80" spans="1:11" s="124" customFormat="1" ht="15" customHeight="1">
      <c r="A80" s="123" t="s">
        <v>74</v>
      </c>
      <c r="B80" s="124" t="s">
        <v>75</v>
      </c>
      <c r="C80" s="91">
        <v>67000</v>
      </c>
      <c r="D80" s="91">
        <v>0</v>
      </c>
      <c r="E80" s="26">
        <f>SUM(C80:D80)</f>
        <v>67000</v>
      </c>
      <c r="F80" s="125">
        <v>10000</v>
      </c>
      <c r="G80" s="125">
        <v>0</v>
      </c>
      <c r="H80" s="26">
        <f>F80+G80</f>
        <v>10000</v>
      </c>
      <c r="I80" s="26">
        <f t="shared" si="21"/>
        <v>77000</v>
      </c>
      <c r="J80" s="26">
        <f t="shared" si="21"/>
        <v>0</v>
      </c>
      <c r="K80" s="26">
        <f t="shared" si="21"/>
        <v>77000</v>
      </c>
    </row>
    <row r="81" spans="1:11" s="115" customFormat="1" ht="15" customHeight="1">
      <c r="A81" s="112" t="s">
        <v>31</v>
      </c>
      <c r="B81" s="113" t="s">
        <v>32</v>
      </c>
      <c r="C81" s="114">
        <v>439126</v>
      </c>
      <c r="D81" s="114">
        <v>0</v>
      </c>
      <c r="E81" s="5">
        <f>SUM(C81:D81)</f>
        <v>439126</v>
      </c>
      <c r="F81" s="114">
        <f>F84+F88</f>
        <v>-60157</v>
      </c>
      <c r="G81" s="114">
        <v>0</v>
      </c>
      <c r="H81" s="5">
        <f>F81+G81</f>
        <v>-60157</v>
      </c>
      <c r="I81" s="5">
        <f t="shared" si="21"/>
        <v>378969</v>
      </c>
      <c r="J81" s="5">
        <f t="shared" si="21"/>
        <v>0</v>
      </c>
      <c r="K81" s="5">
        <f t="shared" si="21"/>
        <v>378969</v>
      </c>
    </row>
    <row r="82" spans="1:11" s="119" customFormat="1" ht="12.75" customHeight="1">
      <c r="A82" s="116"/>
      <c r="B82" s="117" t="s">
        <v>12</v>
      </c>
      <c r="C82" s="118"/>
      <c r="D82" s="118"/>
      <c r="E82" s="8"/>
      <c r="F82" s="118"/>
      <c r="G82" s="118"/>
      <c r="H82" s="8"/>
      <c r="I82" s="8"/>
      <c r="J82" s="8"/>
      <c r="K82" s="8"/>
    </row>
    <row r="83" spans="1:11" s="122" customFormat="1" ht="15" customHeight="1">
      <c r="A83" s="120"/>
      <c r="B83" s="10" t="s">
        <v>114</v>
      </c>
      <c r="C83" s="121">
        <v>53305</v>
      </c>
      <c r="D83" s="121">
        <v>0</v>
      </c>
      <c r="E83" s="11">
        <f aca="true" t="shared" si="22" ref="E83:E91">SUM(C83:D83)</f>
        <v>53305</v>
      </c>
      <c r="F83" s="121">
        <v>0</v>
      </c>
      <c r="G83" s="121">
        <v>0</v>
      </c>
      <c r="H83" s="11">
        <f aca="true" t="shared" si="23" ref="H83:H91">F83+G83</f>
        <v>0</v>
      </c>
      <c r="I83" s="11">
        <f aca="true" t="shared" si="24" ref="I83:K86">C83+F83</f>
        <v>53305</v>
      </c>
      <c r="J83" s="11">
        <f t="shared" si="24"/>
        <v>0</v>
      </c>
      <c r="K83" s="11">
        <f t="shared" si="24"/>
        <v>53305</v>
      </c>
    </row>
    <row r="84" spans="1:11" s="93" customFormat="1" ht="15" customHeight="1">
      <c r="A84" s="92">
        <v>75814</v>
      </c>
      <c r="B84" s="93" t="s">
        <v>175</v>
      </c>
      <c r="C84" s="94">
        <v>50358</v>
      </c>
      <c r="D84" s="94">
        <v>0</v>
      </c>
      <c r="E84" s="23">
        <f t="shared" si="22"/>
        <v>50358</v>
      </c>
      <c r="F84" s="95">
        <f>SUM(F85:F87)</f>
        <v>3358</v>
      </c>
      <c r="G84" s="95">
        <v>0</v>
      </c>
      <c r="H84" s="23">
        <f t="shared" si="23"/>
        <v>3358</v>
      </c>
      <c r="I84" s="23">
        <f t="shared" si="24"/>
        <v>53716</v>
      </c>
      <c r="J84" s="23">
        <f t="shared" si="24"/>
        <v>0</v>
      </c>
      <c r="K84" s="23">
        <f t="shared" si="24"/>
        <v>53716</v>
      </c>
    </row>
    <row r="85" spans="1:11" s="38" customFormat="1" ht="15" customHeight="1">
      <c r="A85" s="40" t="s">
        <v>38</v>
      </c>
      <c r="B85" s="38" t="s">
        <v>39</v>
      </c>
      <c r="C85" s="35">
        <v>0</v>
      </c>
      <c r="D85" s="35">
        <v>0</v>
      </c>
      <c r="E85" s="36">
        <f t="shared" si="22"/>
        <v>0</v>
      </c>
      <c r="F85" s="35">
        <v>2415</v>
      </c>
      <c r="G85" s="35">
        <v>0</v>
      </c>
      <c r="H85" s="36">
        <f t="shared" si="23"/>
        <v>2415</v>
      </c>
      <c r="I85" s="36">
        <f t="shared" si="24"/>
        <v>2415</v>
      </c>
      <c r="J85" s="36">
        <f t="shared" si="24"/>
        <v>0</v>
      </c>
      <c r="K85" s="36">
        <f t="shared" si="24"/>
        <v>2415</v>
      </c>
    </row>
    <row r="86" spans="1:11" s="38" customFormat="1" ht="15" customHeight="1">
      <c r="A86" s="40" t="s">
        <v>42</v>
      </c>
      <c r="B86" s="38" t="s">
        <v>43</v>
      </c>
      <c r="C86" s="35">
        <v>0</v>
      </c>
      <c r="D86" s="35">
        <v>0</v>
      </c>
      <c r="E86" s="36">
        <f t="shared" si="22"/>
        <v>0</v>
      </c>
      <c r="F86" s="35">
        <v>343</v>
      </c>
      <c r="G86" s="35">
        <v>0</v>
      </c>
      <c r="H86" s="36">
        <f t="shared" si="23"/>
        <v>343</v>
      </c>
      <c r="I86" s="36">
        <f t="shared" si="24"/>
        <v>343</v>
      </c>
      <c r="J86" s="36">
        <f t="shared" si="24"/>
        <v>0</v>
      </c>
      <c r="K86" s="36">
        <f t="shared" si="24"/>
        <v>343</v>
      </c>
    </row>
    <row r="87" spans="1:11" s="124" customFormat="1" ht="15" customHeight="1">
      <c r="A87" s="123" t="s">
        <v>49</v>
      </c>
      <c r="B87" s="124" t="s">
        <v>81</v>
      </c>
      <c r="C87" s="91">
        <v>9000</v>
      </c>
      <c r="D87" s="91">
        <v>0</v>
      </c>
      <c r="E87" s="26">
        <f t="shared" si="22"/>
        <v>9000</v>
      </c>
      <c r="F87" s="125">
        <v>600</v>
      </c>
      <c r="G87" s="125">
        <v>0</v>
      </c>
      <c r="H87" s="26">
        <f t="shared" si="23"/>
        <v>600</v>
      </c>
      <c r="I87" s="26">
        <f aca="true" t="shared" si="25" ref="I87:K89">C87+F87</f>
        <v>9600</v>
      </c>
      <c r="J87" s="26">
        <f t="shared" si="25"/>
        <v>0</v>
      </c>
      <c r="K87" s="26">
        <f t="shared" si="25"/>
        <v>9600</v>
      </c>
    </row>
    <row r="88" spans="1:11" s="93" customFormat="1" ht="15" customHeight="1">
      <c r="A88" s="92">
        <v>75818</v>
      </c>
      <c r="B88" s="93" t="s">
        <v>188</v>
      </c>
      <c r="C88" s="94">
        <v>388768</v>
      </c>
      <c r="D88" s="94">
        <v>0</v>
      </c>
      <c r="E88" s="23">
        <f>SUM(C88:D88)</f>
        <v>388768</v>
      </c>
      <c r="F88" s="95">
        <f>SUM(F89:F89)</f>
        <v>-63515</v>
      </c>
      <c r="G88" s="95">
        <v>0</v>
      </c>
      <c r="H88" s="23">
        <f>F88+G88</f>
        <v>-63515</v>
      </c>
      <c r="I88" s="23">
        <f t="shared" si="25"/>
        <v>325253</v>
      </c>
      <c r="J88" s="23">
        <f t="shared" si="25"/>
        <v>0</v>
      </c>
      <c r="K88" s="23">
        <f t="shared" si="25"/>
        <v>325253</v>
      </c>
    </row>
    <row r="89" spans="1:11" s="124" customFormat="1" ht="15" customHeight="1">
      <c r="A89" s="123" t="s">
        <v>187</v>
      </c>
      <c r="B89" s="124" t="s">
        <v>186</v>
      </c>
      <c r="C89" s="91">
        <v>226025</v>
      </c>
      <c r="D89" s="91">
        <v>0</v>
      </c>
      <c r="E89" s="26">
        <f>SUM(C89:D89)</f>
        <v>226025</v>
      </c>
      <c r="F89" s="125">
        <v>-63515</v>
      </c>
      <c r="G89" s="125">
        <v>0</v>
      </c>
      <c r="H89" s="26">
        <f>F89+G89</f>
        <v>-63515</v>
      </c>
      <c r="I89" s="26">
        <f t="shared" si="25"/>
        <v>162510</v>
      </c>
      <c r="J89" s="26">
        <f t="shared" si="25"/>
        <v>0</v>
      </c>
      <c r="K89" s="26">
        <f t="shared" si="25"/>
        <v>162510</v>
      </c>
    </row>
    <row r="90" spans="1:11" s="138" customFormat="1" ht="15" customHeight="1">
      <c r="A90" s="137"/>
      <c r="C90" s="139"/>
      <c r="D90" s="139"/>
      <c r="E90" s="78"/>
      <c r="F90" s="140"/>
      <c r="G90" s="140"/>
      <c r="H90" s="78"/>
      <c r="I90" s="78"/>
      <c r="J90" s="78"/>
      <c r="K90" s="78"/>
    </row>
    <row r="91" spans="1:11" s="6" customFormat="1" ht="13.5" customHeight="1">
      <c r="A91" s="2" t="s">
        <v>33</v>
      </c>
      <c r="B91" s="13" t="s">
        <v>34</v>
      </c>
      <c r="C91" s="14">
        <v>41542096</v>
      </c>
      <c r="D91" s="14">
        <v>107044</v>
      </c>
      <c r="E91" s="5">
        <f t="shared" si="22"/>
        <v>41649140</v>
      </c>
      <c r="F91" s="14">
        <f>F94+F107+F115+F127+F132</f>
        <v>-5844</v>
      </c>
      <c r="G91" s="14">
        <v>0</v>
      </c>
      <c r="H91" s="5">
        <f t="shared" si="23"/>
        <v>-5844</v>
      </c>
      <c r="I91" s="5">
        <f>C91+F91</f>
        <v>41536252</v>
      </c>
      <c r="J91" s="5">
        <f>D91+G91</f>
        <v>107044</v>
      </c>
      <c r="K91" s="5">
        <f>E91+H91</f>
        <v>41643296</v>
      </c>
    </row>
    <row r="92" spans="1:11" s="9" customFormat="1" ht="12" customHeight="1">
      <c r="A92" s="15"/>
      <c r="B92" s="16" t="s">
        <v>12</v>
      </c>
      <c r="C92" s="17"/>
      <c r="D92" s="17"/>
      <c r="E92" s="8"/>
      <c r="F92" s="17"/>
      <c r="G92" s="17"/>
      <c r="H92" s="8"/>
      <c r="I92" s="8"/>
      <c r="J92" s="8"/>
      <c r="K92" s="8"/>
    </row>
    <row r="93" spans="1:11" s="12" customFormat="1" ht="13.5" customHeight="1">
      <c r="A93" s="18"/>
      <c r="B93" s="19" t="s">
        <v>13</v>
      </c>
      <c r="C93" s="20">
        <v>1051419</v>
      </c>
      <c r="D93" s="20">
        <v>90000</v>
      </c>
      <c r="E93" s="11">
        <f aca="true" t="shared" si="26" ref="E93:E126">SUM(C93:D93)</f>
        <v>1141419</v>
      </c>
      <c r="F93" s="20">
        <f>F106</f>
        <v>-55000</v>
      </c>
      <c r="G93" s="20">
        <v>0</v>
      </c>
      <c r="H93" s="11">
        <f>F93+G93</f>
        <v>-55000</v>
      </c>
      <c r="I93" s="11">
        <f aca="true" t="shared" si="27" ref="I93:K139">C93+F93</f>
        <v>996419</v>
      </c>
      <c r="J93" s="11">
        <f t="shared" si="27"/>
        <v>90000</v>
      </c>
      <c r="K93" s="11">
        <f t="shared" si="27"/>
        <v>1086419</v>
      </c>
    </row>
    <row r="94" spans="1:11" s="28" customFormat="1" ht="14.25" customHeight="1">
      <c r="A94" s="27">
        <v>80101</v>
      </c>
      <c r="B94" s="28" t="s">
        <v>35</v>
      </c>
      <c r="C94" s="22">
        <v>17227726</v>
      </c>
      <c r="D94" s="22">
        <v>13944</v>
      </c>
      <c r="E94" s="23">
        <f t="shared" si="26"/>
        <v>17241670</v>
      </c>
      <c r="F94" s="29">
        <f>SUM(F95:F106)</f>
        <v>-40878</v>
      </c>
      <c r="G94" s="29">
        <v>0</v>
      </c>
      <c r="H94" s="23">
        <f>F94+G94</f>
        <v>-40878</v>
      </c>
      <c r="I94" s="23">
        <f t="shared" si="27"/>
        <v>17186848</v>
      </c>
      <c r="J94" s="23">
        <f t="shared" si="27"/>
        <v>13944</v>
      </c>
      <c r="K94" s="23">
        <f t="shared" si="27"/>
        <v>17200792</v>
      </c>
    </row>
    <row r="95" spans="1:11" s="87" customFormat="1" ht="15" customHeight="1">
      <c r="A95" s="86" t="s">
        <v>156</v>
      </c>
      <c r="B95" s="87" t="s">
        <v>157</v>
      </c>
      <c r="C95" s="85">
        <v>210000</v>
      </c>
      <c r="D95" s="85">
        <v>0</v>
      </c>
      <c r="E95" s="36">
        <f t="shared" si="26"/>
        <v>210000</v>
      </c>
      <c r="F95" s="88">
        <f>-15276</f>
        <v>-15276</v>
      </c>
      <c r="G95" s="88">
        <v>0</v>
      </c>
      <c r="H95" s="36">
        <f>F95+G95</f>
        <v>-15276</v>
      </c>
      <c r="I95" s="36">
        <f t="shared" si="27"/>
        <v>194724</v>
      </c>
      <c r="J95" s="36">
        <f t="shared" si="27"/>
        <v>0</v>
      </c>
      <c r="K95" s="36">
        <f>E95+H95</f>
        <v>194724</v>
      </c>
    </row>
    <row r="96" spans="1:11" s="90" customFormat="1" ht="15" customHeight="1">
      <c r="A96" s="89" t="s">
        <v>128</v>
      </c>
      <c r="B96" s="90" t="s">
        <v>129</v>
      </c>
      <c r="C96" s="91">
        <v>8200</v>
      </c>
      <c r="D96" s="91">
        <v>0</v>
      </c>
      <c r="E96" s="26">
        <f t="shared" si="26"/>
        <v>8200</v>
      </c>
      <c r="F96" s="91">
        <f>-720-1000</f>
        <v>-1720</v>
      </c>
      <c r="G96" s="91">
        <v>0</v>
      </c>
      <c r="H96" s="26">
        <f>F96+G96</f>
        <v>-1720</v>
      </c>
      <c r="I96" s="26">
        <f t="shared" si="27"/>
        <v>6480</v>
      </c>
      <c r="J96" s="26">
        <f t="shared" si="27"/>
        <v>0</v>
      </c>
      <c r="K96" s="26">
        <f t="shared" si="27"/>
        <v>6480</v>
      </c>
    </row>
    <row r="97" spans="1:11" s="34" customFormat="1" ht="13.5" customHeight="1">
      <c r="A97" s="33" t="s">
        <v>36</v>
      </c>
      <c r="B97" s="34" t="s">
        <v>37</v>
      </c>
      <c r="C97" s="35">
        <v>11047035</v>
      </c>
      <c r="D97" s="35">
        <v>0</v>
      </c>
      <c r="E97" s="36">
        <f t="shared" si="26"/>
        <v>11047035</v>
      </c>
      <c r="F97" s="37">
        <f>8378+24213+4789-581+680-90</f>
        <v>37389</v>
      </c>
      <c r="G97" s="37">
        <v>0</v>
      </c>
      <c r="H97" s="36">
        <f>F97+G97</f>
        <v>37389</v>
      </c>
      <c r="I97" s="36">
        <f t="shared" si="27"/>
        <v>11084424</v>
      </c>
      <c r="J97" s="36">
        <f t="shared" si="27"/>
        <v>0</v>
      </c>
      <c r="K97" s="36">
        <f t="shared" si="27"/>
        <v>11084424</v>
      </c>
    </row>
    <row r="98" spans="1:11" s="38" customFormat="1" ht="13.5" customHeight="1">
      <c r="A98" s="33" t="s">
        <v>38</v>
      </c>
      <c r="B98" s="34" t="s">
        <v>39</v>
      </c>
      <c r="C98" s="37">
        <v>2046593</v>
      </c>
      <c r="D98" s="37">
        <v>0</v>
      </c>
      <c r="E98" s="36">
        <f t="shared" si="26"/>
        <v>2046593</v>
      </c>
      <c r="F98" s="37">
        <f>-10000-4789-119-3000</f>
        <v>-17908</v>
      </c>
      <c r="G98" s="37">
        <v>0</v>
      </c>
      <c r="H98" s="36">
        <f aca="true" t="shared" si="28" ref="H98:H105">F98+G98</f>
        <v>-17908</v>
      </c>
      <c r="I98" s="36">
        <f t="shared" si="27"/>
        <v>2028685</v>
      </c>
      <c r="J98" s="36">
        <f t="shared" si="27"/>
        <v>0</v>
      </c>
      <c r="K98" s="36">
        <f t="shared" si="27"/>
        <v>2028685</v>
      </c>
    </row>
    <row r="99" spans="1:11" s="38" customFormat="1" ht="13.5" customHeight="1">
      <c r="A99" s="33" t="s">
        <v>42</v>
      </c>
      <c r="B99" s="34" t="s">
        <v>43</v>
      </c>
      <c r="C99" s="37">
        <v>275757</v>
      </c>
      <c r="D99" s="37">
        <v>0</v>
      </c>
      <c r="E99" s="36">
        <f t="shared" si="26"/>
        <v>275757</v>
      </c>
      <c r="F99" s="37">
        <f>-840-1400+2140-20</f>
        <v>-120</v>
      </c>
      <c r="G99" s="37">
        <v>0</v>
      </c>
      <c r="H99" s="36">
        <f t="shared" si="28"/>
        <v>-120</v>
      </c>
      <c r="I99" s="36">
        <f>C99+F99</f>
        <v>275637</v>
      </c>
      <c r="J99" s="36">
        <f>D99+G99</f>
        <v>0</v>
      </c>
      <c r="K99" s="36">
        <f>E99+H99</f>
        <v>275637</v>
      </c>
    </row>
    <row r="100" spans="1:11" s="38" customFormat="1" ht="13.5" customHeight="1">
      <c r="A100" s="33" t="s">
        <v>40</v>
      </c>
      <c r="B100" s="34" t="s">
        <v>41</v>
      </c>
      <c r="C100" s="37">
        <v>421508</v>
      </c>
      <c r="D100" s="37">
        <v>0</v>
      </c>
      <c r="E100" s="36">
        <f t="shared" si="26"/>
        <v>421508</v>
      </c>
      <c r="F100" s="37">
        <f>2500+1287+1314+22000+3000+3000+5263</f>
        <v>38364</v>
      </c>
      <c r="G100" s="37">
        <v>0</v>
      </c>
      <c r="H100" s="36">
        <f t="shared" si="28"/>
        <v>38364</v>
      </c>
      <c r="I100" s="36">
        <f t="shared" si="27"/>
        <v>459872</v>
      </c>
      <c r="J100" s="36">
        <f t="shared" si="27"/>
        <v>0</v>
      </c>
      <c r="K100" s="36">
        <f t="shared" si="27"/>
        <v>459872</v>
      </c>
    </row>
    <row r="101" spans="1:11" s="9" customFormat="1" ht="13.5" customHeight="1">
      <c r="A101" s="24" t="s">
        <v>45</v>
      </c>
      <c r="B101" s="9" t="s">
        <v>46</v>
      </c>
      <c r="C101" s="25">
        <v>30466</v>
      </c>
      <c r="D101" s="25">
        <v>13944</v>
      </c>
      <c r="E101" s="26">
        <f t="shared" si="26"/>
        <v>44410</v>
      </c>
      <c r="F101" s="25">
        <f>4055-556+970</f>
        <v>4469</v>
      </c>
      <c r="G101" s="25">
        <v>0</v>
      </c>
      <c r="H101" s="26">
        <f t="shared" si="28"/>
        <v>4469</v>
      </c>
      <c r="I101" s="26">
        <f>C101+F101</f>
        <v>34935</v>
      </c>
      <c r="J101" s="26">
        <f>D101+G101</f>
        <v>13944</v>
      </c>
      <c r="K101" s="26">
        <f>E101+H101</f>
        <v>48879</v>
      </c>
    </row>
    <row r="102" spans="1:11" s="38" customFormat="1" ht="13.5" customHeight="1">
      <c r="A102" s="33" t="s">
        <v>21</v>
      </c>
      <c r="B102" s="34" t="s">
        <v>22</v>
      </c>
      <c r="C102" s="37">
        <v>746252</v>
      </c>
      <c r="D102" s="37">
        <v>0</v>
      </c>
      <c r="E102" s="36">
        <f t="shared" si="26"/>
        <v>746252</v>
      </c>
      <c r="F102" s="37">
        <f>1700-1000-4819-2238+8012</f>
        <v>1655</v>
      </c>
      <c r="G102" s="37">
        <v>0</v>
      </c>
      <c r="H102" s="36">
        <f t="shared" si="28"/>
        <v>1655</v>
      </c>
      <c r="I102" s="36">
        <f aca="true" t="shared" si="29" ref="I102:K105">C102+F102</f>
        <v>747907</v>
      </c>
      <c r="J102" s="36">
        <f t="shared" si="29"/>
        <v>0</v>
      </c>
      <c r="K102" s="36">
        <f t="shared" si="29"/>
        <v>747907</v>
      </c>
    </row>
    <row r="103" spans="1:11" s="38" customFormat="1" ht="13.5" customHeight="1">
      <c r="A103" s="33" t="s">
        <v>18</v>
      </c>
      <c r="B103" s="34" t="s">
        <v>19</v>
      </c>
      <c r="C103" s="37">
        <v>437143</v>
      </c>
      <c r="D103" s="37">
        <v>0</v>
      </c>
      <c r="E103" s="36">
        <f t="shared" si="26"/>
        <v>437143</v>
      </c>
      <c r="F103" s="37">
        <f>-1359-1475-20000-1500-480</f>
        <v>-24814</v>
      </c>
      <c r="G103" s="37">
        <v>0</v>
      </c>
      <c r="H103" s="36">
        <f t="shared" si="28"/>
        <v>-24814</v>
      </c>
      <c r="I103" s="36">
        <f t="shared" si="29"/>
        <v>412329</v>
      </c>
      <c r="J103" s="36">
        <f t="shared" si="29"/>
        <v>0</v>
      </c>
      <c r="K103" s="36">
        <f t="shared" si="29"/>
        <v>412329</v>
      </c>
    </row>
    <row r="104" spans="1:11" s="38" customFormat="1" ht="13.5" customHeight="1">
      <c r="A104" s="33" t="s">
        <v>27</v>
      </c>
      <c r="B104" s="34" t="s">
        <v>28</v>
      </c>
      <c r="C104" s="37">
        <v>150861</v>
      </c>
      <c r="D104" s="37">
        <v>0</v>
      </c>
      <c r="E104" s="36">
        <f t="shared" si="26"/>
        <v>150861</v>
      </c>
      <c r="F104" s="37">
        <f>-3000-1892-380-2545</f>
        <v>-7817</v>
      </c>
      <c r="G104" s="37">
        <v>0</v>
      </c>
      <c r="H104" s="36">
        <f t="shared" si="28"/>
        <v>-7817</v>
      </c>
      <c r="I104" s="36">
        <f t="shared" si="29"/>
        <v>143044</v>
      </c>
      <c r="J104" s="36">
        <f t="shared" si="29"/>
        <v>0</v>
      </c>
      <c r="K104" s="36">
        <f t="shared" si="29"/>
        <v>143044</v>
      </c>
    </row>
    <row r="105" spans="1:11" s="119" customFormat="1" ht="15" customHeight="1">
      <c r="A105" s="123" t="s">
        <v>130</v>
      </c>
      <c r="B105" s="124" t="s">
        <v>131</v>
      </c>
      <c r="C105" s="125">
        <v>2200</v>
      </c>
      <c r="D105" s="125">
        <v>0</v>
      </c>
      <c r="E105" s="26">
        <f t="shared" si="26"/>
        <v>2200</v>
      </c>
      <c r="F105" s="125">
        <f>-100</f>
        <v>-100</v>
      </c>
      <c r="G105" s="125">
        <v>0</v>
      </c>
      <c r="H105" s="26">
        <f t="shared" si="28"/>
        <v>-100</v>
      </c>
      <c r="I105" s="26">
        <f t="shared" si="29"/>
        <v>2100</v>
      </c>
      <c r="J105" s="26">
        <f t="shared" si="29"/>
        <v>0</v>
      </c>
      <c r="K105" s="26">
        <f t="shared" si="29"/>
        <v>2100</v>
      </c>
    </row>
    <row r="106" spans="1:11" s="42" customFormat="1" ht="13.5" customHeight="1">
      <c r="A106" s="51" t="s">
        <v>112</v>
      </c>
      <c r="B106" s="52" t="s">
        <v>113</v>
      </c>
      <c r="C106" s="45">
        <v>150000</v>
      </c>
      <c r="D106" s="45">
        <v>0</v>
      </c>
      <c r="E106" s="44">
        <f t="shared" si="26"/>
        <v>150000</v>
      </c>
      <c r="F106" s="45">
        <v>-55000</v>
      </c>
      <c r="G106" s="45">
        <v>0</v>
      </c>
      <c r="H106" s="44">
        <f aca="true" t="shared" si="30" ref="H106:H117">F106+G106</f>
        <v>-55000</v>
      </c>
      <c r="I106" s="44">
        <f t="shared" si="27"/>
        <v>95000</v>
      </c>
      <c r="J106" s="44">
        <f t="shared" si="27"/>
        <v>0</v>
      </c>
      <c r="K106" s="44">
        <f t="shared" si="27"/>
        <v>95000</v>
      </c>
    </row>
    <row r="107" spans="1:11" s="39" customFormat="1" ht="13.5" customHeight="1">
      <c r="A107" s="33">
        <v>80104</v>
      </c>
      <c r="B107" s="34" t="s">
        <v>44</v>
      </c>
      <c r="C107" s="37">
        <v>9049928</v>
      </c>
      <c r="D107" s="37">
        <v>0</v>
      </c>
      <c r="E107" s="36">
        <f t="shared" si="26"/>
        <v>9049928</v>
      </c>
      <c r="F107" s="37">
        <f>SUM(F108:F114)</f>
        <v>-20014</v>
      </c>
      <c r="G107" s="37">
        <v>0</v>
      </c>
      <c r="H107" s="36">
        <f t="shared" si="30"/>
        <v>-20014</v>
      </c>
      <c r="I107" s="36">
        <f t="shared" si="27"/>
        <v>9029914</v>
      </c>
      <c r="J107" s="36">
        <f t="shared" si="27"/>
        <v>0</v>
      </c>
      <c r="K107" s="36">
        <f>SUM(E107+H107)</f>
        <v>9029914</v>
      </c>
    </row>
    <row r="108" spans="1:11" s="87" customFormat="1" ht="15" customHeight="1">
      <c r="A108" s="86" t="s">
        <v>156</v>
      </c>
      <c r="B108" s="87" t="s">
        <v>157</v>
      </c>
      <c r="C108" s="85">
        <v>415000</v>
      </c>
      <c r="D108" s="85">
        <v>0</v>
      </c>
      <c r="E108" s="36">
        <f t="shared" si="26"/>
        <v>415000</v>
      </c>
      <c r="F108" s="88">
        <f>-13014</f>
        <v>-13014</v>
      </c>
      <c r="G108" s="88">
        <v>0</v>
      </c>
      <c r="H108" s="36">
        <f t="shared" si="30"/>
        <v>-13014</v>
      </c>
      <c r="I108" s="36">
        <f t="shared" si="27"/>
        <v>401986</v>
      </c>
      <c r="J108" s="36">
        <f t="shared" si="27"/>
        <v>0</v>
      </c>
      <c r="K108" s="36">
        <f>E108+H108</f>
        <v>401986</v>
      </c>
    </row>
    <row r="109" spans="1:11" s="39" customFormat="1" ht="13.5" customHeight="1">
      <c r="A109" s="33" t="s">
        <v>40</v>
      </c>
      <c r="B109" s="34" t="s">
        <v>41</v>
      </c>
      <c r="C109" s="37">
        <v>323619</v>
      </c>
      <c r="D109" s="37">
        <v>0</v>
      </c>
      <c r="E109" s="36">
        <f t="shared" si="26"/>
        <v>323619</v>
      </c>
      <c r="F109" s="37">
        <f>-2486</f>
        <v>-2486</v>
      </c>
      <c r="G109" s="37">
        <v>0</v>
      </c>
      <c r="H109" s="36">
        <f t="shared" si="30"/>
        <v>-2486</v>
      </c>
      <c r="I109" s="36">
        <f t="shared" si="27"/>
        <v>321133</v>
      </c>
      <c r="J109" s="36">
        <f t="shared" si="27"/>
        <v>0</v>
      </c>
      <c r="K109" s="36">
        <f t="shared" si="27"/>
        <v>321133</v>
      </c>
    </row>
    <row r="110" spans="1:11" s="9" customFormat="1" ht="13.5" customHeight="1">
      <c r="A110" s="24" t="s">
        <v>55</v>
      </c>
      <c r="B110" s="9" t="s">
        <v>56</v>
      </c>
      <c r="C110" s="25">
        <v>756600</v>
      </c>
      <c r="D110" s="25">
        <v>0</v>
      </c>
      <c r="E110" s="26">
        <f t="shared" si="26"/>
        <v>756600</v>
      </c>
      <c r="F110" s="25">
        <v>-2000</v>
      </c>
      <c r="G110" s="25">
        <v>0</v>
      </c>
      <c r="H110" s="26">
        <f t="shared" si="30"/>
        <v>-2000</v>
      </c>
      <c r="I110" s="26">
        <f t="shared" si="27"/>
        <v>754600</v>
      </c>
      <c r="J110" s="26">
        <f>D110+G110</f>
        <v>0</v>
      </c>
      <c r="K110" s="26">
        <f>E110+H110</f>
        <v>754600</v>
      </c>
    </row>
    <row r="111" spans="1:11" s="39" customFormat="1" ht="13.5" customHeight="1">
      <c r="A111" s="33" t="s">
        <v>21</v>
      </c>
      <c r="B111" s="34" t="s">
        <v>22</v>
      </c>
      <c r="C111" s="37">
        <v>435699</v>
      </c>
      <c r="D111" s="37">
        <v>0</v>
      </c>
      <c r="E111" s="36">
        <f t="shared" si="26"/>
        <v>435699</v>
      </c>
      <c r="F111" s="37">
        <v>-1500</v>
      </c>
      <c r="G111" s="37">
        <v>0</v>
      </c>
      <c r="H111" s="36">
        <f t="shared" si="30"/>
        <v>-1500</v>
      </c>
      <c r="I111" s="36">
        <f>C111+F111</f>
        <v>434199</v>
      </c>
      <c r="J111" s="36">
        <f>D111+G111</f>
        <v>0</v>
      </c>
      <c r="K111" s="36">
        <f>E111+H111</f>
        <v>434199</v>
      </c>
    </row>
    <row r="112" spans="1:11" s="39" customFormat="1" ht="13.5" customHeight="1">
      <c r="A112" s="33" t="s">
        <v>18</v>
      </c>
      <c r="B112" s="34" t="s">
        <v>19</v>
      </c>
      <c r="C112" s="37">
        <v>175751</v>
      </c>
      <c r="D112" s="37">
        <v>0</v>
      </c>
      <c r="E112" s="36">
        <f t="shared" si="26"/>
        <v>175751</v>
      </c>
      <c r="F112" s="37">
        <v>-548</v>
      </c>
      <c r="G112" s="37">
        <v>0</v>
      </c>
      <c r="H112" s="36">
        <f t="shared" si="30"/>
        <v>-548</v>
      </c>
      <c r="I112" s="36">
        <f t="shared" si="27"/>
        <v>175203</v>
      </c>
      <c r="J112" s="36">
        <f t="shared" si="27"/>
        <v>0</v>
      </c>
      <c r="K112" s="36">
        <f t="shared" si="27"/>
        <v>175203</v>
      </c>
    </row>
    <row r="113" spans="1:11" s="50" customFormat="1" ht="13.5" customHeight="1">
      <c r="A113" s="33" t="s">
        <v>27</v>
      </c>
      <c r="B113" s="34" t="s">
        <v>28</v>
      </c>
      <c r="C113" s="37">
        <v>132950</v>
      </c>
      <c r="D113" s="37">
        <v>0</v>
      </c>
      <c r="E113" s="36">
        <f t="shared" si="26"/>
        <v>132950</v>
      </c>
      <c r="F113" s="37">
        <f>2000-2500</f>
        <v>-500</v>
      </c>
      <c r="G113" s="37">
        <v>0</v>
      </c>
      <c r="H113" s="36">
        <f t="shared" si="30"/>
        <v>-500</v>
      </c>
      <c r="I113" s="36">
        <f t="shared" si="27"/>
        <v>132450</v>
      </c>
      <c r="J113" s="36">
        <f t="shared" si="27"/>
        <v>0</v>
      </c>
      <c r="K113" s="36">
        <f t="shared" si="27"/>
        <v>132450</v>
      </c>
    </row>
    <row r="114" spans="1:11" s="50" customFormat="1" ht="13.5" customHeight="1">
      <c r="A114" s="33" t="s">
        <v>120</v>
      </c>
      <c r="B114" s="34" t="s">
        <v>121</v>
      </c>
      <c r="C114" s="37">
        <v>0</v>
      </c>
      <c r="D114" s="37">
        <v>0</v>
      </c>
      <c r="E114" s="36">
        <f t="shared" si="26"/>
        <v>0</v>
      </c>
      <c r="F114" s="37">
        <v>34</v>
      </c>
      <c r="G114" s="37">
        <v>0</v>
      </c>
      <c r="H114" s="36">
        <f t="shared" si="30"/>
        <v>34</v>
      </c>
      <c r="I114" s="36">
        <f t="shared" si="27"/>
        <v>34</v>
      </c>
      <c r="J114" s="36">
        <f t="shared" si="27"/>
        <v>0</v>
      </c>
      <c r="K114" s="36">
        <f t="shared" si="27"/>
        <v>34</v>
      </c>
    </row>
    <row r="115" spans="1:11" s="39" customFormat="1" ht="13.5" customHeight="1">
      <c r="A115" s="46">
        <v>80110</v>
      </c>
      <c r="B115" s="47" t="s">
        <v>47</v>
      </c>
      <c r="C115" s="48">
        <v>13931710</v>
      </c>
      <c r="D115" s="48">
        <v>90000</v>
      </c>
      <c r="E115" s="49">
        <f t="shared" si="26"/>
        <v>14021710</v>
      </c>
      <c r="F115" s="48">
        <f>SUM(F116:F126)</f>
        <v>63356</v>
      </c>
      <c r="G115" s="48">
        <v>0</v>
      </c>
      <c r="H115" s="49">
        <f t="shared" si="30"/>
        <v>63356</v>
      </c>
      <c r="I115" s="49">
        <f t="shared" si="27"/>
        <v>13995066</v>
      </c>
      <c r="J115" s="49">
        <f t="shared" si="27"/>
        <v>90000</v>
      </c>
      <c r="K115" s="49">
        <f>SUM(E115+H115)</f>
        <v>14085066</v>
      </c>
    </row>
    <row r="116" spans="1:11" s="87" customFormat="1" ht="15" customHeight="1">
      <c r="A116" s="86" t="s">
        <v>156</v>
      </c>
      <c r="B116" s="87" t="s">
        <v>157</v>
      </c>
      <c r="C116" s="85">
        <v>283000</v>
      </c>
      <c r="D116" s="85">
        <v>0</v>
      </c>
      <c r="E116" s="36">
        <f t="shared" si="26"/>
        <v>283000</v>
      </c>
      <c r="F116" s="88">
        <f>-300</f>
        <v>-300</v>
      </c>
      <c r="G116" s="88">
        <v>0</v>
      </c>
      <c r="H116" s="36">
        <f t="shared" si="30"/>
        <v>-300</v>
      </c>
      <c r="I116" s="36">
        <f aca="true" t="shared" si="31" ref="I116:K117">C116+F116</f>
        <v>282700</v>
      </c>
      <c r="J116" s="36">
        <f t="shared" si="31"/>
        <v>0</v>
      </c>
      <c r="K116" s="36">
        <f t="shared" si="31"/>
        <v>282700</v>
      </c>
    </row>
    <row r="117" spans="1:11" s="90" customFormat="1" ht="15" customHeight="1">
      <c r="A117" s="89" t="s">
        <v>128</v>
      </c>
      <c r="B117" s="90" t="s">
        <v>129</v>
      </c>
      <c r="C117" s="91">
        <v>7000</v>
      </c>
      <c r="D117" s="91">
        <v>0</v>
      </c>
      <c r="E117" s="26">
        <f t="shared" si="26"/>
        <v>7000</v>
      </c>
      <c r="F117" s="91">
        <f>-290</f>
        <v>-290</v>
      </c>
      <c r="G117" s="91">
        <v>0</v>
      </c>
      <c r="H117" s="26">
        <f t="shared" si="30"/>
        <v>-290</v>
      </c>
      <c r="I117" s="26">
        <f t="shared" si="31"/>
        <v>6710</v>
      </c>
      <c r="J117" s="26">
        <f t="shared" si="31"/>
        <v>0</v>
      </c>
      <c r="K117" s="26">
        <f t="shared" si="31"/>
        <v>6710</v>
      </c>
    </row>
    <row r="118" spans="1:11" s="34" customFormat="1" ht="13.5" customHeight="1">
      <c r="A118" s="33" t="s">
        <v>36</v>
      </c>
      <c r="B118" s="34" t="s">
        <v>37</v>
      </c>
      <c r="C118" s="35">
        <v>8347688</v>
      </c>
      <c r="D118" s="35">
        <v>0</v>
      </c>
      <c r="E118" s="36">
        <f t="shared" si="26"/>
        <v>8347688</v>
      </c>
      <c r="F118" s="37">
        <f>-8900+51976+17000+13000</f>
        <v>73076</v>
      </c>
      <c r="G118" s="37">
        <v>0</v>
      </c>
      <c r="H118" s="36">
        <f aca="true" t="shared" si="32" ref="H118:H126">F118+G118</f>
        <v>73076</v>
      </c>
      <c r="I118" s="36">
        <f aca="true" t="shared" si="33" ref="I118:K122">C118+F118</f>
        <v>8420764</v>
      </c>
      <c r="J118" s="36">
        <f t="shared" si="33"/>
        <v>0</v>
      </c>
      <c r="K118" s="36">
        <f t="shared" si="33"/>
        <v>8420764</v>
      </c>
    </row>
    <row r="119" spans="1:11" s="39" customFormat="1" ht="13.5" customHeight="1">
      <c r="A119" s="33" t="s">
        <v>38</v>
      </c>
      <c r="B119" s="34" t="s">
        <v>39</v>
      </c>
      <c r="C119" s="37">
        <v>1567794</v>
      </c>
      <c r="D119" s="37">
        <v>0</v>
      </c>
      <c r="E119" s="36">
        <f t="shared" si="26"/>
        <v>1567794</v>
      </c>
      <c r="F119" s="37">
        <f>4100-2000-107-21312</f>
        <v>-19319</v>
      </c>
      <c r="G119" s="37">
        <v>0</v>
      </c>
      <c r="H119" s="36">
        <f t="shared" si="32"/>
        <v>-19319</v>
      </c>
      <c r="I119" s="36">
        <f t="shared" si="33"/>
        <v>1548475</v>
      </c>
      <c r="J119" s="36">
        <f t="shared" si="33"/>
        <v>0</v>
      </c>
      <c r="K119" s="36">
        <f t="shared" si="33"/>
        <v>1548475</v>
      </c>
    </row>
    <row r="120" spans="1:11" s="39" customFormat="1" ht="13.5" customHeight="1">
      <c r="A120" s="33" t="s">
        <v>42</v>
      </c>
      <c r="B120" s="34" t="s">
        <v>43</v>
      </c>
      <c r="C120" s="37">
        <v>210449</v>
      </c>
      <c r="D120" s="37">
        <v>0</v>
      </c>
      <c r="E120" s="36">
        <f t="shared" si="26"/>
        <v>210449</v>
      </c>
      <c r="F120" s="37">
        <f>800+2000-1866</f>
        <v>934</v>
      </c>
      <c r="G120" s="37">
        <v>0</v>
      </c>
      <c r="H120" s="36">
        <f t="shared" si="32"/>
        <v>934</v>
      </c>
      <c r="I120" s="36">
        <f t="shared" si="33"/>
        <v>211383</v>
      </c>
      <c r="J120" s="36">
        <f t="shared" si="33"/>
        <v>0</v>
      </c>
      <c r="K120" s="36">
        <f t="shared" si="33"/>
        <v>211383</v>
      </c>
    </row>
    <row r="121" spans="1:11" s="39" customFormat="1" ht="13.5" customHeight="1">
      <c r="A121" s="33" t="s">
        <v>40</v>
      </c>
      <c r="B121" s="34" t="s">
        <v>41</v>
      </c>
      <c r="C121" s="37">
        <v>317818</v>
      </c>
      <c r="D121" s="37">
        <v>0</v>
      </c>
      <c r="E121" s="36">
        <f t="shared" si="26"/>
        <v>317818</v>
      </c>
      <c r="F121" s="37">
        <f>-2500+5377+2000+5000</f>
        <v>9877</v>
      </c>
      <c r="G121" s="37">
        <v>0</v>
      </c>
      <c r="H121" s="36">
        <f t="shared" si="32"/>
        <v>9877</v>
      </c>
      <c r="I121" s="36">
        <f t="shared" si="33"/>
        <v>327695</v>
      </c>
      <c r="J121" s="36">
        <f t="shared" si="33"/>
        <v>0</v>
      </c>
      <c r="K121" s="36">
        <f t="shared" si="33"/>
        <v>327695</v>
      </c>
    </row>
    <row r="122" spans="1:11" s="9" customFormat="1" ht="13.5" customHeight="1">
      <c r="A122" s="24" t="s">
        <v>45</v>
      </c>
      <c r="B122" s="9" t="s">
        <v>46</v>
      </c>
      <c r="C122" s="25">
        <v>37200</v>
      </c>
      <c r="D122" s="25">
        <v>0</v>
      </c>
      <c r="E122" s="26">
        <f t="shared" si="26"/>
        <v>37200</v>
      </c>
      <c r="F122" s="25">
        <f>300-6500+2550</f>
        <v>-3650</v>
      </c>
      <c r="G122" s="25">
        <v>0</v>
      </c>
      <c r="H122" s="26">
        <f t="shared" si="32"/>
        <v>-3650</v>
      </c>
      <c r="I122" s="26">
        <f t="shared" si="33"/>
        <v>33550</v>
      </c>
      <c r="J122" s="26">
        <f aca="true" t="shared" si="34" ref="J122:K126">D122+G122</f>
        <v>0</v>
      </c>
      <c r="K122" s="26">
        <f t="shared" si="34"/>
        <v>33550</v>
      </c>
    </row>
    <row r="123" spans="1:11" s="39" customFormat="1" ht="13.5" customHeight="1">
      <c r="A123" s="33" t="s">
        <v>21</v>
      </c>
      <c r="B123" s="34" t="s">
        <v>22</v>
      </c>
      <c r="C123" s="37">
        <v>637871</v>
      </c>
      <c r="D123" s="37">
        <v>0</v>
      </c>
      <c r="E123" s="36">
        <f t="shared" si="26"/>
        <v>637871</v>
      </c>
      <c r="F123" s="37">
        <v>-7000</v>
      </c>
      <c r="G123" s="37">
        <v>0</v>
      </c>
      <c r="H123" s="36">
        <f t="shared" si="32"/>
        <v>-7000</v>
      </c>
      <c r="I123" s="36">
        <f>C123+F123</f>
        <v>630871</v>
      </c>
      <c r="J123" s="36">
        <f t="shared" si="34"/>
        <v>0</v>
      </c>
      <c r="K123" s="36">
        <f t="shared" si="34"/>
        <v>630871</v>
      </c>
    </row>
    <row r="124" spans="1:11" s="39" customFormat="1" ht="13.5" customHeight="1">
      <c r="A124" s="33" t="s">
        <v>18</v>
      </c>
      <c r="B124" s="34" t="s">
        <v>19</v>
      </c>
      <c r="C124" s="37">
        <v>232776</v>
      </c>
      <c r="D124" s="37">
        <v>0</v>
      </c>
      <c r="E124" s="36">
        <f t="shared" si="26"/>
        <v>232776</v>
      </c>
      <c r="F124" s="37">
        <v>4068</v>
      </c>
      <c r="G124" s="37">
        <v>0</v>
      </c>
      <c r="H124" s="36">
        <f t="shared" si="32"/>
        <v>4068</v>
      </c>
      <c r="I124" s="36">
        <f>C124+F124</f>
        <v>236844</v>
      </c>
      <c r="J124" s="36">
        <f t="shared" si="34"/>
        <v>0</v>
      </c>
      <c r="K124" s="36">
        <f t="shared" si="34"/>
        <v>236844</v>
      </c>
    </row>
    <row r="125" spans="1:11" s="50" customFormat="1" ht="13.5" customHeight="1">
      <c r="A125" s="33" t="s">
        <v>27</v>
      </c>
      <c r="B125" s="34" t="s">
        <v>28</v>
      </c>
      <c r="C125" s="37">
        <v>142627</v>
      </c>
      <c r="D125" s="37">
        <v>0</v>
      </c>
      <c r="E125" s="36">
        <f t="shared" si="26"/>
        <v>142627</v>
      </c>
      <c r="F125" s="37">
        <f>960-3500+4500</f>
        <v>1960</v>
      </c>
      <c r="G125" s="37">
        <v>0</v>
      </c>
      <c r="H125" s="36">
        <f t="shared" si="32"/>
        <v>1960</v>
      </c>
      <c r="I125" s="36">
        <f>C125+F125</f>
        <v>144587</v>
      </c>
      <c r="J125" s="36">
        <f t="shared" si="34"/>
        <v>0</v>
      </c>
      <c r="K125" s="36">
        <f t="shared" si="34"/>
        <v>144587</v>
      </c>
    </row>
    <row r="126" spans="1:11" s="31" customFormat="1" ht="15" customHeight="1">
      <c r="A126" s="30" t="s">
        <v>29</v>
      </c>
      <c r="B126" s="31" t="s">
        <v>30</v>
      </c>
      <c r="C126" s="25">
        <v>627300</v>
      </c>
      <c r="D126" s="25">
        <v>0</v>
      </c>
      <c r="E126" s="26">
        <f t="shared" si="26"/>
        <v>627300</v>
      </c>
      <c r="F126" s="32">
        <v>4000</v>
      </c>
      <c r="G126" s="32">
        <v>0</v>
      </c>
      <c r="H126" s="26">
        <f t="shared" si="32"/>
        <v>4000</v>
      </c>
      <c r="I126" s="26">
        <f>C126+F126</f>
        <v>631300</v>
      </c>
      <c r="J126" s="26">
        <f t="shared" si="34"/>
        <v>0</v>
      </c>
      <c r="K126" s="26">
        <f t="shared" si="34"/>
        <v>631300</v>
      </c>
    </row>
    <row r="127" spans="1:11" s="80" customFormat="1" ht="15" customHeight="1">
      <c r="A127" s="79">
        <v>80146</v>
      </c>
      <c r="B127" s="80" t="s">
        <v>48</v>
      </c>
      <c r="C127" s="81">
        <v>269757</v>
      </c>
      <c r="D127" s="81">
        <v>0</v>
      </c>
      <c r="E127" s="49">
        <f aca="true" t="shared" si="35" ref="E127:E138">SUM(C127:D127)</f>
        <v>269757</v>
      </c>
      <c r="F127" s="81">
        <f>SUM(F128:F131)</f>
        <v>-5583</v>
      </c>
      <c r="G127" s="81">
        <v>0</v>
      </c>
      <c r="H127" s="49">
        <f aca="true" t="shared" si="36" ref="H127:H134">F127+G127</f>
        <v>-5583</v>
      </c>
      <c r="I127" s="49">
        <f t="shared" si="27"/>
        <v>264174</v>
      </c>
      <c r="J127" s="49">
        <f t="shared" si="27"/>
        <v>0</v>
      </c>
      <c r="K127" s="49">
        <f t="shared" si="27"/>
        <v>264174</v>
      </c>
    </row>
    <row r="128" spans="1:11" s="84" customFormat="1" ht="15" customHeight="1">
      <c r="A128" s="86" t="s">
        <v>36</v>
      </c>
      <c r="B128" s="87" t="s">
        <v>159</v>
      </c>
      <c r="C128" s="88">
        <v>137068</v>
      </c>
      <c r="D128" s="88">
        <v>0</v>
      </c>
      <c r="E128" s="36">
        <f t="shared" si="35"/>
        <v>137068</v>
      </c>
      <c r="F128" s="88">
        <f>839+237</f>
        <v>1076</v>
      </c>
      <c r="G128" s="88">
        <v>0</v>
      </c>
      <c r="H128" s="36">
        <f t="shared" si="36"/>
        <v>1076</v>
      </c>
      <c r="I128" s="36">
        <f t="shared" si="27"/>
        <v>138144</v>
      </c>
      <c r="J128" s="36">
        <f t="shared" si="27"/>
        <v>0</v>
      </c>
      <c r="K128" s="36">
        <f t="shared" si="27"/>
        <v>138144</v>
      </c>
    </row>
    <row r="129" spans="1:11" s="84" customFormat="1" ht="15" customHeight="1">
      <c r="A129" s="86" t="s">
        <v>38</v>
      </c>
      <c r="B129" s="87" t="s">
        <v>39</v>
      </c>
      <c r="C129" s="88">
        <v>24187</v>
      </c>
      <c r="D129" s="88">
        <v>0</v>
      </c>
      <c r="E129" s="36">
        <f t="shared" si="35"/>
        <v>24187</v>
      </c>
      <c r="F129" s="88">
        <f>-417-147</f>
        <v>-564</v>
      </c>
      <c r="G129" s="88">
        <v>0</v>
      </c>
      <c r="H129" s="36">
        <f t="shared" si="36"/>
        <v>-564</v>
      </c>
      <c r="I129" s="36">
        <f t="shared" si="27"/>
        <v>23623</v>
      </c>
      <c r="J129" s="36">
        <f t="shared" si="27"/>
        <v>0</v>
      </c>
      <c r="K129" s="36">
        <f t="shared" si="27"/>
        <v>23623</v>
      </c>
    </row>
    <row r="130" spans="1:11" s="84" customFormat="1" ht="15" customHeight="1">
      <c r="A130" s="86" t="s">
        <v>42</v>
      </c>
      <c r="B130" s="87" t="s">
        <v>43</v>
      </c>
      <c r="C130" s="88">
        <v>3249</v>
      </c>
      <c r="D130" s="88">
        <v>0</v>
      </c>
      <c r="E130" s="36">
        <f t="shared" si="35"/>
        <v>3249</v>
      </c>
      <c r="F130" s="88">
        <v>-23</v>
      </c>
      <c r="G130" s="88">
        <v>0</v>
      </c>
      <c r="H130" s="36">
        <f t="shared" si="36"/>
        <v>-23</v>
      </c>
      <c r="I130" s="36">
        <f t="shared" si="27"/>
        <v>3226</v>
      </c>
      <c r="J130" s="36">
        <f t="shared" si="27"/>
        <v>0</v>
      </c>
      <c r="K130" s="36">
        <f t="shared" si="27"/>
        <v>3226</v>
      </c>
    </row>
    <row r="131" spans="1:11" s="134" customFormat="1" ht="15" customHeight="1">
      <c r="A131" s="97" t="s">
        <v>27</v>
      </c>
      <c r="B131" s="98" t="s">
        <v>28</v>
      </c>
      <c r="C131" s="99">
        <v>89875</v>
      </c>
      <c r="D131" s="99">
        <v>0</v>
      </c>
      <c r="E131" s="44">
        <f t="shared" si="35"/>
        <v>89875</v>
      </c>
      <c r="F131" s="99">
        <f>-820-800-680-970-1160-862-780</f>
        <v>-6072</v>
      </c>
      <c r="G131" s="99">
        <v>0</v>
      </c>
      <c r="H131" s="44">
        <f t="shared" si="36"/>
        <v>-6072</v>
      </c>
      <c r="I131" s="44">
        <f t="shared" si="27"/>
        <v>83803</v>
      </c>
      <c r="J131" s="44">
        <f t="shared" si="27"/>
        <v>0</v>
      </c>
      <c r="K131" s="44">
        <f>E131+H131</f>
        <v>83803</v>
      </c>
    </row>
    <row r="132" spans="1:11" s="82" customFormat="1" ht="15" customHeight="1">
      <c r="A132" s="126">
        <v>80195</v>
      </c>
      <c r="B132" s="127" t="s">
        <v>110</v>
      </c>
      <c r="C132" s="128">
        <v>242475</v>
      </c>
      <c r="D132" s="128">
        <v>3100</v>
      </c>
      <c r="E132" s="49">
        <f t="shared" si="35"/>
        <v>245575</v>
      </c>
      <c r="F132" s="128">
        <f>SUM(F133:F138)</f>
        <v>-2725</v>
      </c>
      <c r="G132" s="128">
        <f>SUM(G133:G138)</f>
        <v>0</v>
      </c>
      <c r="H132" s="49">
        <f t="shared" si="36"/>
        <v>-2725</v>
      </c>
      <c r="I132" s="49">
        <f t="shared" si="27"/>
        <v>239750</v>
      </c>
      <c r="J132" s="49">
        <f t="shared" si="27"/>
        <v>3100</v>
      </c>
      <c r="K132" s="49">
        <f>SUM(E132+H132)</f>
        <v>242850</v>
      </c>
    </row>
    <row r="133" spans="1:11" s="39" customFormat="1" ht="13.5" customHeight="1">
      <c r="A133" s="33" t="s">
        <v>38</v>
      </c>
      <c r="B133" s="34" t="s">
        <v>39</v>
      </c>
      <c r="C133" s="37">
        <v>25912</v>
      </c>
      <c r="D133" s="37">
        <v>0</v>
      </c>
      <c r="E133" s="36">
        <f t="shared" si="35"/>
        <v>25912</v>
      </c>
      <c r="F133" s="37">
        <f>6-5+119-892+47+125+107+159+7</f>
        <v>-327</v>
      </c>
      <c r="G133" s="37">
        <v>0</v>
      </c>
      <c r="H133" s="36">
        <f t="shared" si="36"/>
        <v>-327</v>
      </c>
      <c r="I133" s="36">
        <f t="shared" si="27"/>
        <v>25585</v>
      </c>
      <c r="J133" s="36">
        <f t="shared" si="27"/>
        <v>0</v>
      </c>
      <c r="K133" s="36">
        <f t="shared" si="27"/>
        <v>25585</v>
      </c>
    </row>
    <row r="134" spans="1:11" s="82" customFormat="1" ht="15" customHeight="1">
      <c r="A134" s="86" t="s">
        <v>42</v>
      </c>
      <c r="B134" s="87" t="s">
        <v>43</v>
      </c>
      <c r="C134" s="88">
        <v>3792</v>
      </c>
      <c r="D134" s="88">
        <v>0</v>
      </c>
      <c r="E134" s="36">
        <f t="shared" si="35"/>
        <v>3792</v>
      </c>
      <c r="F134" s="88">
        <f>-219+20-54+28+10-92+13-7</f>
        <v>-301</v>
      </c>
      <c r="G134" s="88">
        <v>0</v>
      </c>
      <c r="H134" s="36">
        <f t="shared" si="36"/>
        <v>-301</v>
      </c>
      <c r="I134" s="36">
        <f>C134+F134</f>
        <v>3491</v>
      </c>
      <c r="J134" s="36">
        <f>D134+G134</f>
        <v>0</v>
      </c>
      <c r="K134" s="36">
        <f>E134+H134</f>
        <v>3491</v>
      </c>
    </row>
    <row r="135" spans="1:11" s="82" customFormat="1" ht="15" customHeight="1">
      <c r="A135" s="86" t="s">
        <v>49</v>
      </c>
      <c r="B135" s="87" t="s">
        <v>50</v>
      </c>
      <c r="C135" s="88">
        <v>149805</v>
      </c>
      <c r="D135" s="88">
        <v>2000</v>
      </c>
      <c r="E135" s="36">
        <f t="shared" si="35"/>
        <v>151805</v>
      </c>
      <c r="F135" s="88">
        <f>1126+581-2198+215+65+388+715-5100</f>
        <v>-4208</v>
      </c>
      <c r="G135" s="88">
        <v>1100</v>
      </c>
      <c r="H135" s="36">
        <f>SUM(F135:G135)</f>
        <v>-3108</v>
      </c>
      <c r="I135" s="36">
        <f t="shared" si="27"/>
        <v>145597</v>
      </c>
      <c r="J135" s="36">
        <f t="shared" si="27"/>
        <v>3100</v>
      </c>
      <c r="K135" s="36">
        <f t="shared" si="27"/>
        <v>148697</v>
      </c>
    </row>
    <row r="136" spans="1:11" s="84" customFormat="1" ht="15" customHeight="1">
      <c r="A136" s="83" t="s">
        <v>40</v>
      </c>
      <c r="B136" s="84" t="s">
        <v>162</v>
      </c>
      <c r="C136" s="85">
        <v>3174</v>
      </c>
      <c r="D136" s="85">
        <v>0</v>
      </c>
      <c r="E136" s="36">
        <f t="shared" si="35"/>
        <v>3174</v>
      </c>
      <c r="F136" s="88">
        <f>-1033</f>
        <v>-1033</v>
      </c>
      <c r="G136" s="88">
        <v>0</v>
      </c>
      <c r="H136" s="36">
        <f>SUM(F136:G136)</f>
        <v>-1033</v>
      </c>
      <c r="I136" s="36">
        <f t="shared" si="27"/>
        <v>2141</v>
      </c>
      <c r="J136" s="36">
        <f t="shared" si="27"/>
        <v>0</v>
      </c>
      <c r="K136" s="36">
        <f t="shared" si="27"/>
        <v>2141</v>
      </c>
    </row>
    <row r="137" spans="1:11" s="9" customFormat="1" ht="13.5" customHeight="1">
      <c r="A137" s="24" t="s">
        <v>45</v>
      </c>
      <c r="B137" s="9" t="s">
        <v>46</v>
      </c>
      <c r="C137" s="25">
        <v>0</v>
      </c>
      <c r="D137" s="25">
        <v>0</v>
      </c>
      <c r="E137" s="26">
        <f t="shared" si="35"/>
        <v>0</v>
      </c>
      <c r="F137" s="25">
        <f>3144</f>
        <v>3144</v>
      </c>
      <c r="G137" s="25">
        <v>0</v>
      </c>
      <c r="H137" s="26">
        <f>F137+G137</f>
        <v>3144</v>
      </c>
      <c r="I137" s="26">
        <f t="shared" si="27"/>
        <v>3144</v>
      </c>
      <c r="J137" s="26">
        <f t="shared" si="27"/>
        <v>0</v>
      </c>
      <c r="K137" s="26">
        <f t="shared" si="27"/>
        <v>3144</v>
      </c>
    </row>
    <row r="138" spans="1:11" s="96" customFormat="1" ht="15" customHeight="1">
      <c r="A138" s="86" t="s">
        <v>27</v>
      </c>
      <c r="B138" s="87" t="s">
        <v>28</v>
      </c>
      <c r="C138" s="85">
        <v>7292</v>
      </c>
      <c r="D138" s="85">
        <v>1100</v>
      </c>
      <c r="E138" s="36">
        <f t="shared" si="35"/>
        <v>8392</v>
      </c>
      <c r="F138" s="88">
        <v>0</v>
      </c>
      <c r="G138" s="88">
        <v>-1100</v>
      </c>
      <c r="H138" s="36">
        <f>F138+G138</f>
        <v>-1100</v>
      </c>
      <c r="I138" s="36">
        <f t="shared" si="27"/>
        <v>7292</v>
      </c>
      <c r="J138" s="36">
        <f t="shared" si="27"/>
        <v>0</v>
      </c>
      <c r="K138" s="36">
        <f t="shared" si="27"/>
        <v>7292</v>
      </c>
    </row>
    <row r="139" spans="1:11" s="6" customFormat="1" ht="13.5" customHeight="1">
      <c r="A139" s="2" t="s">
        <v>51</v>
      </c>
      <c r="B139" s="13" t="s">
        <v>52</v>
      </c>
      <c r="C139" s="14">
        <v>1039333</v>
      </c>
      <c r="D139" s="14">
        <v>204</v>
      </c>
      <c r="E139" s="5">
        <f>SUM(C139:D139)</f>
        <v>1039537</v>
      </c>
      <c r="F139" s="14">
        <v>0</v>
      </c>
      <c r="G139" s="14">
        <v>0</v>
      </c>
      <c r="H139" s="5">
        <f>F139+G139</f>
        <v>0</v>
      </c>
      <c r="I139" s="5">
        <f t="shared" si="27"/>
        <v>1039333</v>
      </c>
      <c r="J139" s="5">
        <f t="shared" si="27"/>
        <v>204</v>
      </c>
      <c r="K139" s="5">
        <f t="shared" si="27"/>
        <v>1039537</v>
      </c>
    </row>
    <row r="140" spans="1:11" s="9" customFormat="1" ht="15" customHeight="1">
      <c r="A140" s="15"/>
      <c r="B140" s="16" t="s">
        <v>12</v>
      </c>
      <c r="C140" s="17"/>
      <c r="D140" s="17"/>
      <c r="E140" s="8"/>
      <c r="F140" s="17"/>
      <c r="G140" s="17"/>
      <c r="H140" s="8"/>
      <c r="I140" s="8"/>
      <c r="J140" s="8"/>
      <c r="K140" s="8"/>
    </row>
    <row r="141" spans="1:11" s="12" customFormat="1" ht="13.5" customHeight="1">
      <c r="A141" s="18"/>
      <c r="B141" s="19" t="s">
        <v>13</v>
      </c>
      <c r="C141" s="20">
        <v>0</v>
      </c>
      <c r="D141" s="20">
        <v>0</v>
      </c>
      <c r="E141" s="11">
        <f>SUM(C141:D141)</f>
        <v>0</v>
      </c>
      <c r="F141" s="20">
        <v>0</v>
      </c>
      <c r="G141" s="20">
        <v>0</v>
      </c>
      <c r="H141" s="11">
        <f>F141+G141</f>
        <v>0</v>
      </c>
      <c r="I141" s="11">
        <f aca="true" t="shared" si="37" ref="I141:K149">C141+F141</f>
        <v>0</v>
      </c>
      <c r="J141" s="11">
        <f t="shared" si="37"/>
        <v>0</v>
      </c>
      <c r="K141" s="11">
        <f t="shared" si="37"/>
        <v>0</v>
      </c>
    </row>
    <row r="142" spans="1:11" s="6" customFormat="1" ht="13.5" customHeight="1">
      <c r="A142" s="21">
        <v>85154</v>
      </c>
      <c r="B142" s="6" t="s">
        <v>53</v>
      </c>
      <c r="C142" s="22">
        <v>997333</v>
      </c>
      <c r="D142" s="22">
        <v>0</v>
      </c>
      <c r="E142" s="23">
        <f>SUM(C142:D142)</f>
        <v>997333</v>
      </c>
      <c r="F142" s="22">
        <f>SUM(F143:F148)</f>
        <v>0</v>
      </c>
      <c r="G142" s="22">
        <v>0</v>
      </c>
      <c r="H142" s="23">
        <f>F142+G142</f>
        <v>0</v>
      </c>
      <c r="I142" s="23">
        <f t="shared" si="37"/>
        <v>997333</v>
      </c>
      <c r="J142" s="23">
        <f t="shared" si="37"/>
        <v>0</v>
      </c>
      <c r="K142" s="23">
        <f t="shared" si="37"/>
        <v>997333</v>
      </c>
    </row>
    <row r="143" spans="1:11" s="9" customFormat="1" ht="15" customHeight="1">
      <c r="A143" s="24" t="s">
        <v>38</v>
      </c>
      <c r="B143" s="9" t="s">
        <v>54</v>
      </c>
      <c r="C143" s="25">
        <v>23203</v>
      </c>
      <c r="D143" s="25">
        <v>0</v>
      </c>
      <c r="E143" s="26">
        <f aca="true" t="shared" si="38" ref="E143:E148">SUM(C143:D143)</f>
        <v>23203</v>
      </c>
      <c r="F143" s="25">
        <f>500-41-18-88-53-220+30+18+68</f>
        <v>196</v>
      </c>
      <c r="G143" s="25">
        <v>0</v>
      </c>
      <c r="H143" s="26">
        <f aca="true" t="shared" si="39" ref="H143:H148">F143+G143</f>
        <v>196</v>
      </c>
      <c r="I143" s="26">
        <f t="shared" si="37"/>
        <v>23399</v>
      </c>
      <c r="J143" s="26">
        <f t="shared" si="37"/>
        <v>0</v>
      </c>
      <c r="K143" s="26">
        <f t="shared" si="37"/>
        <v>23399</v>
      </c>
    </row>
    <row r="144" spans="1:11" s="9" customFormat="1" ht="15" customHeight="1">
      <c r="A144" s="24" t="s">
        <v>42</v>
      </c>
      <c r="B144" s="9" t="s">
        <v>43</v>
      </c>
      <c r="C144" s="25">
        <v>3097</v>
      </c>
      <c r="D144" s="25">
        <v>0</v>
      </c>
      <c r="E144" s="26">
        <f t="shared" si="38"/>
        <v>3097</v>
      </c>
      <c r="F144" s="25">
        <f>35+50-2-9-7-16-9+5+5+11+17</f>
        <v>80</v>
      </c>
      <c r="G144" s="25">
        <v>0</v>
      </c>
      <c r="H144" s="26">
        <f t="shared" si="39"/>
        <v>80</v>
      </c>
      <c r="I144" s="26">
        <f t="shared" si="37"/>
        <v>3177</v>
      </c>
      <c r="J144" s="26">
        <f t="shared" si="37"/>
        <v>0</v>
      </c>
      <c r="K144" s="26">
        <f t="shared" si="37"/>
        <v>3177</v>
      </c>
    </row>
    <row r="145" spans="1:11" s="9" customFormat="1" ht="15" customHeight="1">
      <c r="A145" s="24" t="s">
        <v>49</v>
      </c>
      <c r="B145" s="9" t="s">
        <v>50</v>
      </c>
      <c r="C145" s="25">
        <v>288866</v>
      </c>
      <c r="D145" s="25">
        <v>0</v>
      </c>
      <c r="E145" s="26">
        <f t="shared" si="38"/>
        <v>288866</v>
      </c>
      <c r="F145" s="25">
        <f>-22035-480-274-153-556-417-1280-35-123-11-85</f>
        <v>-25449</v>
      </c>
      <c r="G145" s="25">
        <v>0</v>
      </c>
      <c r="H145" s="26">
        <f t="shared" si="39"/>
        <v>-25449</v>
      </c>
      <c r="I145" s="26">
        <f t="shared" si="37"/>
        <v>263417</v>
      </c>
      <c r="J145" s="26">
        <f t="shared" si="37"/>
        <v>0</v>
      </c>
      <c r="K145" s="26">
        <f t="shared" si="37"/>
        <v>263417</v>
      </c>
    </row>
    <row r="146" spans="1:11" s="39" customFormat="1" ht="13.5" customHeight="1">
      <c r="A146" s="33" t="s">
        <v>40</v>
      </c>
      <c r="B146" s="34" t="s">
        <v>41</v>
      </c>
      <c r="C146" s="37">
        <v>33960</v>
      </c>
      <c r="D146" s="37">
        <v>0</v>
      </c>
      <c r="E146" s="36">
        <f>SUM(C146:D146)</f>
        <v>33960</v>
      </c>
      <c r="F146" s="37">
        <f>-1000-70</f>
        <v>-1070</v>
      </c>
      <c r="G146" s="37">
        <v>0</v>
      </c>
      <c r="H146" s="36">
        <f t="shared" si="39"/>
        <v>-1070</v>
      </c>
      <c r="I146" s="36">
        <f t="shared" si="37"/>
        <v>32890</v>
      </c>
      <c r="J146" s="36">
        <f t="shared" si="37"/>
        <v>0</v>
      </c>
      <c r="K146" s="36">
        <f t="shared" si="37"/>
        <v>32890</v>
      </c>
    </row>
    <row r="147" spans="1:11" s="9" customFormat="1" ht="13.5" customHeight="1">
      <c r="A147" s="24" t="s">
        <v>45</v>
      </c>
      <c r="B147" s="9" t="s">
        <v>46</v>
      </c>
      <c r="C147" s="25">
        <v>18453</v>
      </c>
      <c r="D147" s="25">
        <v>0</v>
      </c>
      <c r="E147" s="26">
        <f>SUM(C147:D147)</f>
        <v>18453</v>
      </c>
      <c r="F147" s="25">
        <f>4500+317+180+651+486+1509+100</f>
        <v>7743</v>
      </c>
      <c r="G147" s="25">
        <v>0</v>
      </c>
      <c r="H147" s="26">
        <f t="shared" si="39"/>
        <v>7743</v>
      </c>
      <c r="I147" s="26">
        <f t="shared" si="37"/>
        <v>26196</v>
      </c>
      <c r="J147" s="26">
        <f t="shared" si="37"/>
        <v>0</v>
      </c>
      <c r="K147" s="26">
        <f t="shared" si="37"/>
        <v>26196</v>
      </c>
    </row>
    <row r="148" spans="1:11" s="12" customFormat="1" ht="15" customHeight="1">
      <c r="A148" s="57" t="s">
        <v>27</v>
      </c>
      <c r="B148" s="12" t="s">
        <v>28</v>
      </c>
      <c r="C148" s="58">
        <v>271617</v>
      </c>
      <c r="D148" s="58">
        <v>0</v>
      </c>
      <c r="E148" s="59">
        <f t="shared" si="38"/>
        <v>271617</v>
      </c>
      <c r="F148" s="58">
        <v>18500</v>
      </c>
      <c r="G148" s="58">
        <v>0</v>
      </c>
      <c r="H148" s="59">
        <f t="shared" si="39"/>
        <v>18500</v>
      </c>
      <c r="I148" s="59">
        <f t="shared" si="37"/>
        <v>290117</v>
      </c>
      <c r="J148" s="59">
        <f t="shared" si="37"/>
        <v>0</v>
      </c>
      <c r="K148" s="59">
        <f t="shared" si="37"/>
        <v>290117</v>
      </c>
    </row>
    <row r="149" spans="1:11" s="6" customFormat="1" ht="15" customHeight="1">
      <c r="A149" s="2" t="s">
        <v>57</v>
      </c>
      <c r="B149" s="13" t="s">
        <v>79</v>
      </c>
      <c r="C149" s="14">
        <v>9901305</v>
      </c>
      <c r="D149" s="14">
        <v>20082932</v>
      </c>
      <c r="E149" s="5">
        <f>SUM(C149:D149)</f>
        <v>29984237</v>
      </c>
      <c r="F149" s="14">
        <f>F152+F162+F167+F170+F172+F174</f>
        <v>-576000</v>
      </c>
      <c r="G149" s="14">
        <f>G152+G162+G167+G170+G172+G174</f>
        <v>0</v>
      </c>
      <c r="H149" s="5">
        <f>F149+G149</f>
        <v>-576000</v>
      </c>
      <c r="I149" s="5">
        <f t="shared" si="37"/>
        <v>9325305</v>
      </c>
      <c r="J149" s="5">
        <f t="shared" si="37"/>
        <v>20082932</v>
      </c>
      <c r="K149" s="5">
        <f t="shared" si="37"/>
        <v>29408237</v>
      </c>
    </row>
    <row r="150" spans="1:11" s="9" customFormat="1" ht="15" customHeight="1">
      <c r="A150" s="15"/>
      <c r="B150" s="16" t="s">
        <v>12</v>
      </c>
      <c r="C150" s="17"/>
      <c r="D150" s="17"/>
      <c r="E150" s="8"/>
      <c r="F150" s="17"/>
      <c r="G150" s="17"/>
      <c r="H150" s="8"/>
      <c r="I150" s="8"/>
      <c r="J150" s="8"/>
      <c r="K150" s="8"/>
    </row>
    <row r="151" spans="1:11" s="12" customFormat="1" ht="15" customHeight="1">
      <c r="A151" s="18"/>
      <c r="B151" s="19" t="s">
        <v>13</v>
      </c>
      <c r="C151" s="20">
        <v>92300</v>
      </c>
      <c r="D151" s="20">
        <v>8078</v>
      </c>
      <c r="E151" s="11">
        <f>SUM(C151:D151)</f>
        <v>100378</v>
      </c>
      <c r="F151" s="20">
        <v>0</v>
      </c>
      <c r="G151" s="20">
        <v>0</v>
      </c>
      <c r="H151" s="11">
        <f aca="true" t="shared" si="40" ref="H151:H169">F151+G151</f>
        <v>0</v>
      </c>
      <c r="I151" s="11">
        <f>C151+F151</f>
        <v>92300</v>
      </c>
      <c r="J151" s="11">
        <f>D151+G151</f>
        <v>8078</v>
      </c>
      <c r="K151" s="11">
        <f>E151+H151</f>
        <v>100378</v>
      </c>
    </row>
    <row r="152" spans="1:11" s="28" customFormat="1" ht="15" customHeight="1">
      <c r="A152" s="27">
        <v>85202</v>
      </c>
      <c r="B152" s="28" t="s">
        <v>80</v>
      </c>
      <c r="C152" s="22">
        <v>1089400</v>
      </c>
      <c r="D152" s="22">
        <v>0</v>
      </c>
      <c r="E152" s="23">
        <f aca="true" t="shared" si="41" ref="E152:E169">SUM(C152:D152)</f>
        <v>1089400</v>
      </c>
      <c r="F152" s="29">
        <f>SUM(F153:F161)</f>
        <v>-40000</v>
      </c>
      <c r="G152" s="29">
        <v>0</v>
      </c>
      <c r="H152" s="23">
        <f t="shared" si="40"/>
        <v>-40000</v>
      </c>
      <c r="I152" s="23">
        <f aca="true" t="shared" si="42" ref="I152:K174">C152+F152</f>
        <v>1049400</v>
      </c>
      <c r="J152" s="23">
        <f t="shared" si="42"/>
        <v>0</v>
      </c>
      <c r="K152" s="23">
        <f t="shared" si="42"/>
        <v>1049400</v>
      </c>
    </row>
    <row r="153" spans="1:11" s="34" customFormat="1" ht="15" customHeight="1">
      <c r="A153" s="33" t="s">
        <v>36</v>
      </c>
      <c r="B153" s="34" t="s">
        <v>37</v>
      </c>
      <c r="C153" s="35">
        <v>471600</v>
      </c>
      <c r="D153" s="35">
        <v>0</v>
      </c>
      <c r="E153" s="36">
        <f t="shared" si="41"/>
        <v>471600</v>
      </c>
      <c r="F153" s="37">
        <v>-25000</v>
      </c>
      <c r="G153" s="37">
        <v>0</v>
      </c>
      <c r="H153" s="36">
        <f t="shared" si="40"/>
        <v>-25000</v>
      </c>
      <c r="I153" s="36">
        <f t="shared" si="42"/>
        <v>446600</v>
      </c>
      <c r="J153" s="36">
        <f t="shared" si="42"/>
        <v>0</v>
      </c>
      <c r="K153" s="36">
        <f t="shared" si="42"/>
        <v>446600</v>
      </c>
    </row>
    <row r="154" spans="1:11" s="34" customFormat="1" ht="15" customHeight="1">
      <c r="A154" s="33" t="s">
        <v>42</v>
      </c>
      <c r="B154" s="34" t="s">
        <v>39</v>
      </c>
      <c r="C154" s="35">
        <v>12000</v>
      </c>
      <c r="D154" s="35">
        <v>0</v>
      </c>
      <c r="E154" s="36">
        <f t="shared" si="41"/>
        <v>12000</v>
      </c>
      <c r="F154" s="37">
        <v>-600</v>
      </c>
      <c r="G154" s="37">
        <v>0</v>
      </c>
      <c r="H154" s="36">
        <f t="shared" si="40"/>
        <v>-600</v>
      </c>
      <c r="I154" s="36">
        <f t="shared" si="42"/>
        <v>11400</v>
      </c>
      <c r="J154" s="36">
        <f t="shared" si="42"/>
        <v>0</v>
      </c>
      <c r="K154" s="36">
        <f t="shared" si="42"/>
        <v>11400</v>
      </c>
    </row>
    <row r="155" spans="1:11" s="38" customFormat="1" ht="15" customHeight="1">
      <c r="A155" s="33" t="s">
        <v>49</v>
      </c>
      <c r="B155" s="34" t="s">
        <v>81</v>
      </c>
      <c r="C155" s="37">
        <v>4200</v>
      </c>
      <c r="D155" s="37">
        <v>0</v>
      </c>
      <c r="E155" s="36">
        <f t="shared" si="41"/>
        <v>4200</v>
      </c>
      <c r="F155" s="37">
        <v>-100</v>
      </c>
      <c r="G155" s="37">
        <v>0</v>
      </c>
      <c r="H155" s="36">
        <f t="shared" si="40"/>
        <v>-100</v>
      </c>
      <c r="I155" s="36">
        <f t="shared" si="42"/>
        <v>4100</v>
      </c>
      <c r="J155" s="36">
        <f t="shared" si="42"/>
        <v>0</v>
      </c>
      <c r="K155" s="36">
        <f t="shared" si="42"/>
        <v>4100</v>
      </c>
    </row>
    <row r="156" spans="1:11" s="38" customFormat="1" ht="13.5" customHeight="1">
      <c r="A156" s="33" t="s">
        <v>40</v>
      </c>
      <c r="B156" s="34" t="s">
        <v>41</v>
      </c>
      <c r="C156" s="37">
        <v>49600</v>
      </c>
      <c r="D156" s="37">
        <v>0</v>
      </c>
      <c r="E156" s="36">
        <f>SUM(C156:D156)</f>
        <v>49600</v>
      </c>
      <c r="F156" s="37">
        <v>2660</v>
      </c>
      <c r="G156" s="37">
        <v>0</v>
      </c>
      <c r="H156" s="36">
        <f>F156+G156</f>
        <v>2660</v>
      </c>
      <c r="I156" s="36">
        <f t="shared" si="42"/>
        <v>52260</v>
      </c>
      <c r="J156" s="36">
        <f t="shared" si="42"/>
        <v>0</v>
      </c>
      <c r="K156" s="36">
        <f t="shared" si="42"/>
        <v>52260</v>
      </c>
    </row>
    <row r="157" spans="1:11" s="38" customFormat="1" ht="15" customHeight="1">
      <c r="A157" s="33" t="s">
        <v>55</v>
      </c>
      <c r="B157" s="34" t="s">
        <v>56</v>
      </c>
      <c r="C157" s="37">
        <v>190000</v>
      </c>
      <c r="D157" s="37">
        <v>0</v>
      </c>
      <c r="E157" s="36">
        <f t="shared" si="41"/>
        <v>190000</v>
      </c>
      <c r="F157" s="37">
        <v>11600</v>
      </c>
      <c r="G157" s="37">
        <v>0</v>
      </c>
      <c r="H157" s="36">
        <f t="shared" si="40"/>
        <v>11600</v>
      </c>
      <c r="I157" s="36">
        <f t="shared" si="42"/>
        <v>201600</v>
      </c>
      <c r="J157" s="36">
        <f t="shared" si="42"/>
        <v>0</v>
      </c>
      <c r="K157" s="36">
        <f t="shared" si="42"/>
        <v>201600</v>
      </c>
    </row>
    <row r="158" spans="1:11" s="50" customFormat="1" ht="15" customHeight="1">
      <c r="A158" s="33" t="s">
        <v>21</v>
      </c>
      <c r="B158" s="34" t="s">
        <v>22</v>
      </c>
      <c r="C158" s="37">
        <v>136800</v>
      </c>
      <c r="D158" s="37">
        <v>0</v>
      </c>
      <c r="E158" s="36">
        <f t="shared" si="41"/>
        <v>136800</v>
      </c>
      <c r="F158" s="37">
        <v>-21000</v>
      </c>
      <c r="G158" s="37">
        <v>0</v>
      </c>
      <c r="H158" s="36">
        <f t="shared" si="40"/>
        <v>-21000</v>
      </c>
      <c r="I158" s="36">
        <f t="shared" si="42"/>
        <v>115800</v>
      </c>
      <c r="J158" s="36">
        <f t="shared" si="42"/>
        <v>0</v>
      </c>
      <c r="K158" s="36">
        <f>E158+H158</f>
        <v>115800</v>
      </c>
    </row>
    <row r="159" spans="1:11" s="39" customFormat="1" ht="15" customHeight="1">
      <c r="A159" s="33" t="s">
        <v>18</v>
      </c>
      <c r="B159" s="34" t="s">
        <v>19</v>
      </c>
      <c r="C159" s="35">
        <v>11000</v>
      </c>
      <c r="D159" s="35">
        <v>0</v>
      </c>
      <c r="E159" s="36">
        <f>SUM(C159:D159)</f>
        <v>11000</v>
      </c>
      <c r="F159" s="37">
        <v>-4000</v>
      </c>
      <c r="G159" s="37">
        <v>0</v>
      </c>
      <c r="H159" s="36">
        <f>F159+G159</f>
        <v>-4000</v>
      </c>
      <c r="I159" s="36">
        <f t="shared" si="42"/>
        <v>7000</v>
      </c>
      <c r="J159" s="36">
        <f t="shared" si="42"/>
        <v>0</v>
      </c>
      <c r="K159" s="36">
        <f>E159+H159</f>
        <v>7000</v>
      </c>
    </row>
    <row r="160" spans="1:11" s="38" customFormat="1" ht="15" customHeight="1">
      <c r="A160" s="33" t="s">
        <v>27</v>
      </c>
      <c r="B160" s="34" t="s">
        <v>28</v>
      </c>
      <c r="C160" s="37">
        <v>60500</v>
      </c>
      <c r="D160" s="37">
        <v>0</v>
      </c>
      <c r="E160" s="36">
        <f t="shared" si="41"/>
        <v>60500</v>
      </c>
      <c r="F160" s="37">
        <v>-3000</v>
      </c>
      <c r="G160" s="37">
        <v>0</v>
      </c>
      <c r="H160" s="36">
        <f t="shared" si="40"/>
        <v>-3000</v>
      </c>
      <c r="I160" s="36">
        <f t="shared" si="42"/>
        <v>57500</v>
      </c>
      <c r="J160" s="36">
        <f t="shared" si="42"/>
        <v>0</v>
      </c>
      <c r="K160" s="36">
        <f t="shared" si="42"/>
        <v>57500</v>
      </c>
    </row>
    <row r="161" spans="1:11" s="38" customFormat="1" ht="15" customHeight="1">
      <c r="A161" s="40" t="s">
        <v>29</v>
      </c>
      <c r="B161" s="38" t="s">
        <v>30</v>
      </c>
      <c r="C161" s="35">
        <v>17500</v>
      </c>
      <c r="D161" s="35">
        <v>0</v>
      </c>
      <c r="E161" s="36">
        <f t="shared" si="41"/>
        <v>17500</v>
      </c>
      <c r="F161" s="37">
        <v>-560</v>
      </c>
      <c r="G161" s="37">
        <v>0</v>
      </c>
      <c r="H161" s="36">
        <f t="shared" si="40"/>
        <v>-560</v>
      </c>
      <c r="I161" s="36">
        <f t="shared" si="42"/>
        <v>16940</v>
      </c>
      <c r="J161" s="36">
        <f t="shared" si="42"/>
        <v>0</v>
      </c>
      <c r="K161" s="36">
        <f t="shared" si="42"/>
        <v>16940</v>
      </c>
    </row>
    <row r="162" spans="1:11" s="28" customFormat="1" ht="15" customHeight="1">
      <c r="A162" s="27">
        <v>85203</v>
      </c>
      <c r="B162" s="28" t="s">
        <v>138</v>
      </c>
      <c r="C162" s="22">
        <v>72400</v>
      </c>
      <c r="D162" s="22">
        <v>370629</v>
      </c>
      <c r="E162" s="23">
        <f t="shared" si="41"/>
        <v>443029</v>
      </c>
      <c r="F162" s="29">
        <f>SUM(F163:F166)</f>
        <v>-2000</v>
      </c>
      <c r="G162" s="29">
        <f>SUM(G163:G166)</f>
        <v>0</v>
      </c>
      <c r="H162" s="23">
        <f t="shared" si="40"/>
        <v>-2000</v>
      </c>
      <c r="I162" s="23">
        <f t="shared" si="42"/>
        <v>70400</v>
      </c>
      <c r="J162" s="23">
        <f t="shared" si="42"/>
        <v>370629</v>
      </c>
      <c r="K162" s="23">
        <f t="shared" si="42"/>
        <v>441029</v>
      </c>
    </row>
    <row r="163" spans="1:11" s="31" customFormat="1" ht="15" customHeight="1">
      <c r="A163" s="30" t="s">
        <v>40</v>
      </c>
      <c r="B163" s="31" t="s">
        <v>41</v>
      </c>
      <c r="C163" s="25">
        <v>4000</v>
      </c>
      <c r="D163" s="25">
        <v>28274</v>
      </c>
      <c r="E163" s="26">
        <f>SUM(C163:D163)</f>
        <v>32274</v>
      </c>
      <c r="F163" s="32">
        <v>-1000</v>
      </c>
      <c r="G163" s="32">
        <v>2400</v>
      </c>
      <c r="H163" s="26">
        <f>F163+G163</f>
        <v>1400</v>
      </c>
      <c r="I163" s="26">
        <f t="shared" si="42"/>
        <v>3000</v>
      </c>
      <c r="J163" s="26">
        <f t="shared" si="42"/>
        <v>30674</v>
      </c>
      <c r="K163" s="26">
        <f t="shared" si="42"/>
        <v>33674</v>
      </c>
    </row>
    <row r="164" spans="1:11" s="50" customFormat="1" ht="15" customHeight="1">
      <c r="A164" s="33" t="s">
        <v>21</v>
      </c>
      <c r="B164" s="34" t="s">
        <v>22</v>
      </c>
      <c r="C164" s="37">
        <v>0</v>
      </c>
      <c r="D164" s="37">
        <v>34700</v>
      </c>
      <c r="E164" s="36">
        <f t="shared" si="41"/>
        <v>34700</v>
      </c>
      <c r="F164" s="37">
        <v>0</v>
      </c>
      <c r="G164" s="37">
        <v>-2000</v>
      </c>
      <c r="H164" s="36">
        <f t="shared" si="40"/>
        <v>-2000</v>
      </c>
      <c r="I164" s="36">
        <f t="shared" si="42"/>
        <v>0</v>
      </c>
      <c r="J164" s="36">
        <f t="shared" si="42"/>
        <v>32700</v>
      </c>
      <c r="K164" s="36">
        <f>E164+H164</f>
        <v>32700</v>
      </c>
    </row>
    <row r="165" spans="1:11" s="38" customFormat="1" ht="15" customHeight="1">
      <c r="A165" s="33" t="s">
        <v>27</v>
      </c>
      <c r="B165" s="34" t="s">
        <v>28</v>
      </c>
      <c r="C165" s="37">
        <v>6000</v>
      </c>
      <c r="D165" s="37">
        <v>17000</v>
      </c>
      <c r="E165" s="36">
        <f t="shared" si="41"/>
        <v>23000</v>
      </c>
      <c r="F165" s="37">
        <v>-1000</v>
      </c>
      <c r="G165" s="37">
        <v>-500</v>
      </c>
      <c r="H165" s="36">
        <f t="shared" si="40"/>
        <v>-1500</v>
      </c>
      <c r="I165" s="36">
        <f t="shared" si="42"/>
        <v>5000</v>
      </c>
      <c r="J165" s="36">
        <f t="shared" si="42"/>
        <v>16500</v>
      </c>
      <c r="K165" s="36">
        <f t="shared" si="42"/>
        <v>21500</v>
      </c>
    </row>
    <row r="166" spans="1:11" s="38" customFormat="1" ht="15" customHeight="1">
      <c r="A166" s="40" t="s">
        <v>120</v>
      </c>
      <c r="B166" s="38" t="s">
        <v>121</v>
      </c>
      <c r="C166" s="35">
        <v>0</v>
      </c>
      <c r="D166" s="35">
        <v>1325</v>
      </c>
      <c r="E166" s="36">
        <f t="shared" si="41"/>
        <v>1325</v>
      </c>
      <c r="F166" s="37">
        <v>0</v>
      </c>
      <c r="G166" s="37">
        <v>100</v>
      </c>
      <c r="H166" s="36">
        <f t="shared" si="40"/>
        <v>100</v>
      </c>
      <c r="I166" s="36">
        <f t="shared" si="42"/>
        <v>0</v>
      </c>
      <c r="J166" s="36">
        <f t="shared" si="42"/>
        <v>1425</v>
      </c>
      <c r="K166" s="36">
        <f t="shared" si="42"/>
        <v>1425</v>
      </c>
    </row>
    <row r="167" spans="1:11" s="93" customFormat="1" ht="15" customHeight="1">
      <c r="A167" s="92">
        <v>85212</v>
      </c>
      <c r="B167" s="93" t="s">
        <v>139</v>
      </c>
      <c r="C167" s="94">
        <v>22000</v>
      </c>
      <c r="D167" s="94">
        <v>14001042</v>
      </c>
      <c r="E167" s="23">
        <f t="shared" si="41"/>
        <v>14023042</v>
      </c>
      <c r="F167" s="95">
        <f>SUM(F168:F168)</f>
        <v>0</v>
      </c>
      <c r="G167" s="95">
        <f>SUM(G168:G169)</f>
        <v>0</v>
      </c>
      <c r="H167" s="23">
        <f t="shared" si="40"/>
        <v>0</v>
      </c>
      <c r="I167" s="23">
        <f t="shared" si="42"/>
        <v>22000</v>
      </c>
      <c r="J167" s="23">
        <f t="shared" si="42"/>
        <v>14001042</v>
      </c>
      <c r="K167" s="23">
        <f t="shared" si="42"/>
        <v>14023042</v>
      </c>
    </row>
    <row r="168" spans="1:11" s="87" customFormat="1" ht="15" customHeight="1">
      <c r="A168" s="86" t="s">
        <v>96</v>
      </c>
      <c r="B168" s="87" t="s">
        <v>140</v>
      </c>
      <c r="C168" s="85">
        <v>0</v>
      </c>
      <c r="D168" s="85">
        <v>13432664</v>
      </c>
      <c r="E168" s="36">
        <f t="shared" si="41"/>
        <v>13432664</v>
      </c>
      <c r="F168" s="88">
        <v>0</v>
      </c>
      <c r="G168" s="88">
        <v>-3250</v>
      </c>
      <c r="H168" s="36">
        <f t="shared" si="40"/>
        <v>-3250</v>
      </c>
      <c r="I168" s="36">
        <f t="shared" si="42"/>
        <v>0</v>
      </c>
      <c r="J168" s="36">
        <f t="shared" si="42"/>
        <v>13429414</v>
      </c>
      <c r="K168" s="36">
        <f t="shared" si="42"/>
        <v>13429414</v>
      </c>
    </row>
    <row r="169" spans="1:11" s="96" customFormat="1" ht="15" customHeight="1">
      <c r="A169" s="86" t="s">
        <v>38</v>
      </c>
      <c r="B169" s="87" t="s">
        <v>39</v>
      </c>
      <c r="C169" s="88">
        <v>0</v>
      </c>
      <c r="D169" s="88">
        <v>281000</v>
      </c>
      <c r="E169" s="36">
        <f t="shared" si="41"/>
        <v>281000</v>
      </c>
      <c r="F169" s="88">
        <v>0</v>
      </c>
      <c r="G169" s="88">
        <v>3250</v>
      </c>
      <c r="H169" s="36">
        <f t="shared" si="40"/>
        <v>3250</v>
      </c>
      <c r="I169" s="36">
        <f t="shared" si="42"/>
        <v>0</v>
      </c>
      <c r="J169" s="36">
        <f t="shared" si="42"/>
        <v>284250</v>
      </c>
      <c r="K169" s="36">
        <f t="shared" si="42"/>
        <v>284250</v>
      </c>
    </row>
    <row r="170" spans="1:11" s="93" customFormat="1" ht="15" customHeight="1">
      <c r="A170" s="92">
        <v>85214</v>
      </c>
      <c r="B170" s="93" t="s">
        <v>141</v>
      </c>
      <c r="C170" s="94">
        <v>3280080</v>
      </c>
      <c r="D170" s="94">
        <v>3266542</v>
      </c>
      <c r="E170" s="23">
        <f>SUM(C170:D170)</f>
        <v>6546622</v>
      </c>
      <c r="F170" s="95">
        <f>SUM(F171:F171)</f>
        <v>-500000</v>
      </c>
      <c r="G170" s="95">
        <f>SUM(G171:G171)</f>
        <v>0</v>
      </c>
      <c r="H170" s="23">
        <f>F170+G170</f>
        <v>-500000</v>
      </c>
      <c r="I170" s="23">
        <f aca="true" t="shared" si="43" ref="I170:K173">C170+F170</f>
        <v>2780080</v>
      </c>
      <c r="J170" s="23">
        <f t="shared" si="43"/>
        <v>3266542</v>
      </c>
      <c r="K170" s="23">
        <f t="shared" si="43"/>
        <v>6046622</v>
      </c>
    </row>
    <row r="171" spans="1:11" s="87" customFormat="1" ht="15" customHeight="1">
      <c r="A171" s="86" t="s">
        <v>96</v>
      </c>
      <c r="B171" s="87" t="s">
        <v>140</v>
      </c>
      <c r="C171" s="85">
        <v>3276080</v>
      </c>
      <c r="D171" s="85">
        <v>3266542</v>
      </c>
      <c r="E171" s="36">
        <f>SUM(C171:D171)</f>
        <v>6542622</v>
      </c>
      <c r="F171" s="88">
        <v>-500000</v>
      </c>
      <c r="G171" s="88">
        <v>0</v>
      </c>
      <c r="H171" s="36">
        <f>F171+G171</f>
        <v>-500000</v>
      </c>
      <c r="I171" s="36">
        <f t="shared" si="43"/>
        <v>2776080</v>
      </c>
      <c r="J171" s="36">
        <f t="shared" si="43"/>
        <v>3266542</v>
      </c>
      <c r="K171" s="36">
        <f t="shared" si="43"/>
        <v>6042622</v>
      </c>
    </row>
    <row r="172" spans="1:11" s="93" customFormat="1" ht="15" customHeight="1">
      <c r="A172" s="92">
        <v>85215</v>
      </c>
      <c r="B172" s="93" t="s">
        <v>142</v>
      </c>
      <c r="C172" s="94">
        <v>3541500</v>
      </c>
      <c r="D172" s="94">
        <v>0</v>
      </c>
      <c r="E172" s="23">
        <f>SUM(C172:D172)</f>
        <v>3541500</v>
      </c>
      <c r="F172" s="95">
        <f>SUM(F173:F173)</f>
        <v>-34000</v>
      </c>
      <c r="G172" s="95">
        <f>SUM(G173:G173)</f>
        <v>0</v>
      </c>
      <c r="H172" s="23">
        <f>F172+G172</f>
        <v>-34000</v>
      </c>
      <c r="I172" s="23">
        <f t="shared" si="43"/>
        <v>3507500</v>
      </c>
      <c r="J172" s="23">
        <f t="shared" si="43"/>
        <v>0</v>
      </c>
      <c r="K172" s="23">
        <f t="shared" si="43"/>
        <v>3507500</v>
      </c>
    </row>
    <row r="173" spans="1:11" s="87" customFormat="1" ht="15" customHeight="1">
      <c r="A173" s="86" t="s">
        <v>96</v>
      </c>
      <c r="B173" s="87" t="s">
        <v>140</v>
      </c>
      <c r="C173" s="85">
        <v>3541500</v>
      </c>
      <c r="D173" s="85">
        <v>0</v>
      </c>
      <c r="E173" s="36">
        <f>SUM(C173:D173)</f>
        <v>3541500</v>
      </c>
      <c r="F173" s="88">
        <v>-34000</v>
      </c>
      <c r="G173" s="88">
        <v>0</v>
      </c>
      <c r="H173" s="36">
        <f>F173+G173</f>
        <v>-34000</v>
      </c>
      <c r="I173" s="36">
        <f t="shared" si="43"/>
        <v>3507500</v>
      </c>
      <c r="J173" s="36">
        <f t="shared" si="43"/>
        <v>0</v>
      </c>
      <c r="K173" s="36">
        <f t="shared" si="43"/>
        <v>3507500</v>
      </c>
    </row>
    <row r="174" spans="1:11" s="28" customFormat="1" ht="15" customHeight="1">
      <c r="A174" s="27">
        <v>85228</v>
      </c>
      <c r="B174" s="28" t="s">
        <v>122</v>
      </c>
      <c r="C174" s="22">
        <v>421500</v>
      </c>
      <c r="D174" s="22">
        <v>78500</v>
      </c>
      <c r="E174" s="23">
        <f aca="true" t="shared" si="44" ref="E174:E182">SUM(C174:D174)</f>
        <v>500000</v>
      </c>
      <c r="F174" s="29">
        <f>SUM(F175:F182)</f>
        <v>0</v>
      </c>
      <c r="G174" s="29">
        <f>SUM(G175:G182)</f>
        <v>0</v>
      </c>
      <c r="H174" s="23">
        <f aca="true" t="shared" si="45" ref="H174:H182">F174+G174</f>
        <v>0</v>
      </c>
      <c r="I174" s="23">
        <f t="shared" si="42"/>
        <v>421500</v>
      </c>
      <c r="J174" s="23">
        <f t="shared" si="42"/>
        <v>78500</v>
      </c>
      <c r="K174" s="23">
        <f t="shared" si="42"/>
        <v>500000</v>
      </c>
    </row>
    <row r="175" spans="1:11" s="34" customFormat="1" ht="15" customHeight="1">
      <c r="A175" s="33" t="s">
        <v>36</v>
      </c>
      <c r="B175" s="34" t="s">
        <v>37</v>
      </c>
      <c r="C175" s="35">
        <v>300000</v>
      </c>
      <c r="D175" s="35">
        <v>47300</v>
      </c>
      <c r="E175" s="36">
        <f t="shared" si="44"/>
        <v>347300</v>
      </c>
      <c r="F175" s="37">
        <v>0</v>
      </c>
      <c r="G175" s="37">
        <v>4500</v>
      </c>
      <c r="H175" s="36">
        <f t="shared" si="45"/>
        <v>4500</v>
      </c>
      <c r="I175" s="36">
        <f aca="true" t="shared" si="46" ref="I175:I181">C175+F175</f>
        <v>300000</v>
      </c>
      <c r="J175" s="36">
        <f aca="true" t="shared" si="47" ref="J175:J181">D175+G175</f>
        <v>51800</v>
      </c>
      <c r="K175" s="36">
        <f aca="true" t="shared" si="48" ref="K175:K183">E175+H175</f>
        <v>351800</v>
      </c>
    </row>
    <row r="176" spans="1:11" s="9" customFormat="1" ht="15" customHeight="1">
      <c r="A176" s="24" t="s">
        <v>38</v>
      </c>
      <c r="B176" s="9" t="s">
        <v>54</v>
      </c>
      <c r="C176" s="25">
        <v>55000</v>
      </c>
      <c r="D176" s="25">
        <v>10600</v>
      </c>
      <c r="E176" s="26">
        <f t="shared" si="44"/>
        <v>65600</v>
      </c>
      <c r="F176" s="25">
        <v>1500</v>
      </c>
      <c r="G176" s="25">
        <v>-950</v>
      </c>
      <c r="H176" s="26">
        <f t="shared" si="45"/>
        <v>550</v>
      </c>
      <c r="I176" s="26">
        <f t="shared" si="46"/>
        <v>56500</v>
      </c>
      <c r="J176" s="26">
        <f t="shared" si="47"/>
        <v>9650</v>
      </c>
      <c r="K176" s="26">
        <f t="shared" si="48"/>
        <v>66150</v>
      </c>
    </row>
    <row r="177" spans="1:11" s="34" customFormat="1" ht="15" customHeight="1">
      <c r="A177" s="33" t="s">
        <v>42</v>
      </c>
      <c r="B177" s="34" t="s">
        <v>39</v>
      </c>
      <c r="C177" s="35">
        <v>7600</v>
      </c>
      <c r="D177" s="35">
        <v>1400</v>
      </c>
      <c r="E177" s="36">
        <f t="shared" si="44"/>
        <v>9000</v>
      </c>
      <c r="F177" s="37">
        <v>0</v>
      </c>
      <c r="G177" s="37">
        <v>-150</v>
      </c>
      <c r="H177" s="36">
        <f t="shared" si="45"/>
        <v>-150</v>
      </c>
      <c r="I177" s="36">
        <f t="shared" si="46"/>
        <v>7600</v>
      </c>
      <c r="J177" s="36">
        <f t="shared" si="47"/>
        <v>1250</v>
      </c>
      <c r="K177" s="36">
        <f t="shared" si="48"/>
        <v>8850</v>
      </c>
    </row>
    <row r="178" spans="1:11" s="38" customFormat="1" ht="15" customHeight="1">
      <c r="A178" s="33" t="s">
        <v>49</v>
      </c>
      <c r="B178" s="34" t="s">
        <v>81</v>
      </c>
      <c r="C178" s="37">
        <v>17500</v>
      </c>
      <c r="D178" s="37">
        <v>7000</v>
      </c>
      <c r="E178" s="36">
        <f t="shared" si="44"/>
        <v>24500</v>
      </c>
      <c r="F178" s="37">
        <v>4000</v>
      </c>
      <c r="G178" s="37">
        <v>-2504</v>
      </c>
      <c r="H178" s="36">
        <f t="shared" si="45"/>
        <v>1496</v>
      </c>
      <c r="I178" s="36">
        <f t="shared" si="46"/>
        <v>21500</v>
      </c>
      <c r="J178" s="36">
        <f t="shared" si="47"/>
        <v>4496</v>
      </c>
      <c r="K178" s="36">
        <f t="shared" si="48"/>
        <v>25996</v>
      </c>
    </row>
    <row r="179" spans="1:11" s="38" customFormat="1" ht="13.5" customHeight="1">
      <c r="A179" s="33" t="s">
        <v>40</v>
      </c>
      <c r="B179" s="34" t="s">
        <v>41</v>
      </c>
      <c r="C179" s="37">
        <v>4200</v>
      </c>
      <c r="D179" s="37">
        <v>2600</v>
      </c>
      <c r="E179" s="36">
        <f t="shared" si="44"/>
        <v>6800</v>
      </c>
      <c r="F179" s="37">
        <v>-1400</v>
      </c>
      <c r="G179" s="37">
        <v>0</v>
      </c>
      <c r="H179" s="36">
        <f t="shared" si="45"/>
        <v>-1400</v>
      </c>
      <c r="I179" s="36">
        <f t="shared" si="46"/>
        <v>2800</v>
      </c>
      <c r="J179" s="36">
        <f t="shared" si="47"/>
        <v>2600</v>
      </c>
      <c r="K179" s="36">
        <f t="shared" si="48"/>
        <v>5400</v>
      </c>
    </row>
    <row r="180" spans="1:11" s="38" customFormat="1" ht="15" customHeight="1">
      <c r="A180" s="33" t="s">
        <v>27</v>
      </c>
      <c r="B180" s="34" t="s">
        <v>28</v>
      </c>
      <c r="C180" s="37">
        <v>4000</v>
      </c>
      <c r="D180" s="37">
        <v>4200</v>
      </c>
      <c r="E180" s="36">
        <f t="shared" si="44"/>
        <v>8200</v>
      </c>
      <c r="F180" s="37">
        <v>-1600</v>
      </c>
      <c r="G180" s="37">
        <v>-826</v>
      </c>
      <c r="H180" s="36">
        <f t="shared" si="45"/>
        <v>-2426</v>
      </c>
      <c r="I180" s="36">
        <f t="shared" si="46"/>
        <v>2400</v>
      </c>
      <c r="J180" s="36">
        <f t="shared" si="47"/>
        <v>3374</v>
      </c>
      <c r="K180" s="36">
        <f t="shared" si="48"/>
        <v>5774</v>
      </c>
    </row>
    <row r="181" spans="1:11" s="38" customFormat="1" ht="15" customHeight="1">
      <c r="A181" s="40" t="s">
        <v>120</v>
      </c>
      <c r="B181" s="38" t="s">
        <v>121</v>
      </c>
      <c r="C181" s="35">
        <v>16000</v>
      </c>
      <c r="D181" s="35">
        <v>2700</v>
      </c>
      <c r="E181" s="36">
        <f t="shared" si="44"/>
        <v>18700</v>
      </c>
      <c r="F181" s="37">
        <v>-2000</v>
      </c>
      <c r="G181" s="37">
        <v>0</v>
      </c>
      <c r="H181" s="36">
        <f t="shared" si="45"/>
        <v>-2000</v>
      </c>
      <c r="I181" s="36">
        <f t="shared" si="46"/>
        <v>14000</v>
      </c>
      <c r="J181" s="36">
        <f t="shared" si="47"/>
        <v>2700</v>
      </c>
      <c r="K181" s="36">
        <f t="shared" si="48"/>
        <v>16700</v>
      </c>
    </row>
    <row r="182" spans="1:11" s="38" customFormat="1" ht="15" customHeight="1">
      <c r="A182" s="40" t="s">
        <v>29</v>
      </c>
      <c r="B182" s="38" t="s">
        <v>30</v>
      </c>
      <c r="C182" s="35">
        <v>17200</v>
      </c>
      <c r="D182" s="35">
        <v>2700</v>
      </c>
      <c r="E182" s="36">
        <f t="shared" si="44"/>
        <v>19900</v>
      </c>
      <c r="F182" s="37">
        <v>-500</v>
      </c>
      <c r="G182" s="37">
        <v>-70</v>
      </c>
      <c r="H182" s="36">
        <f t="shared" si="45"/>
        <v>-570</v>
      </c>
      <c r="I182" s="36">
        <f>C182+F182</f>
        <v>16700</v>
      </c>
      <c r="J182" s="36">
        <f>D182+G182</f>
        <v>2630</v>
      </c>
      <c r="K182" s="36">
        <f t="shared" si="48"/>
        <v>19330</v>
      </c>
    </row>
    <row r="183" spans="1:11" s="104" customFormat="1" ht="15" customHeight="1">
      <c r="A183" s="101" t="s">
        <v>145</v>
      </c>
      <c r="B183" s="102" t="s">
        <v>148</v>
      </c>
      <c r="C183" s="103">
        <v>713614</v>
      </c>
      <c r="D183" s="103">
        <v>0</v>
      </c>
      <c r="E183" s="64">
        <f>SUM(C183:D183)</f>
        <v>713614</v>
      </c>
      <c r="F183" s="103">
        <f>F186</f>
        <v>4000</v>
      </c>
      <c r="G183" s="103">
        <v>0</v>
      </c>
      <c r="H183" s="64">
        <f>F183+G183</f>
        <v>4000</v>
      </c>
      <c r="I183" s="64">
        <f>C183+F183</f>
        <v>717614</v>
      </c>
      <c r="J183" s="64">
        <f>D183+G183</f>
        <v>0</v>
      </c>
      <c r="K183" s="64">
        <f t="shared" si="48"/>
        <v>717614</v>
      </c>
    </row>
    <row r="184" spans="1:11" s="96" customFormat="1" ht="15" customHeight="1">
      <c r="A184" s="105"/>
      <c r="B184" s="106" t="s">
        <v>12</v>
      </c>
      <c r="C184" s="107"/>
      <c r="D184" s="107"/>
      <c r="E184" s="68"/>
      <c r="F184" s="107"/>
      <c r="G184" s="107"/>
      <c r="H184" s="68"/>
      <c r="I184" s="68"/>
      <c r="J184" s="68"/>
      <c r="K184" s="68"/>
    </row>
    <row r="185" spans="1:11" s="100" customFormat="1" ht="15" customHeight="1">
      <c r="A185" s="108"/>
      <c r="B185" s="10" t="s">
        <v>114</v>
      </c>
      <c r="C185" s="109">
        <v>4707</v>
      </c>
      <c r="D185" s="109">
        <v>0</v>
      </c>
      <c r="E185" s="71">
        <f>SUM(C185:D185)</f>
        <v>4707</v>
      </c>
      <c r="F185" s="109">
        <v>0</v>
      </c>
      <c r="G185" s="109">
        <v>0</v>
      </c>
      <c r="H185" s="71">
        <f aca="true" t="shared" si="49" ref="H185:H195">F185+G185</f>
        <v>0</v>
      </c>
      <c r="I185" s="71">
        <f aca="true" t="shared" si="50" ref="I185:K195">C185+F185</f>
        <v>4707</v>
      </c>
      <c r="J185" s="71">
        <f t="shared" si="50"/>
        <v>0</v>
      </c>
      <c r="K185" s="71">
        <f t="shared" si="50"/>
        <v>4707</v>
      </c>
    </row>
    <row r="186" spans="1:11" s="111" customFormat="1" ht="15" customHeight="1">
      <c r="A186" s="110">
        <v>85305</v>
      </c>
      <c r="B186" s="111" t="s">
        <v>149</v>
      </c>
      <c r="C186" s="94">
        <v>687614</v>
      </c>
      <c r="D186" s="94">
        <v>0</v>
      </c>
      <c r="E186" s="23">
        <f>SUM(C186:D186)</f>
        <v>687614</v>
      </c>
      <c r="F186" s="94">
        <f>SUM(F187:F195)</f>
        <v>4000</v>
      </c>
      <c r="G186" s="94">
        <v>0</v>
      </c>
      <c r="H186" s="23">
        <f t="shared" si="49"/>
        <v>4000</v>
      </c>
      <c r="I186" s="23">
        <f t="shared" si="50"/>
        <v>691614</v>
      </c>
      <c r="J186" s="23">
        <f t="shared" si="50"/>
        <v>0</v>
      </c>
      <c r="K186" s="23">
        <f t="shared" si="50"/>
        <v>691614</v>
      </c>
    </row>
    <row r="187" spans="1:11" s="34" customFormat="1" ht="15" customHeight="1">
      <c r="A187" s="33" t="s">
        <v>36</v>
      </c>
      <c r="B187" s="34" t="s">
        <v>37</v>
      </c>
      <c r="C187" s="35">
        <v>374600</v>
      </c>
      <c r="D187" s="35">
        <v>0</v>
      </c>
      <c r="E187" s="36">
        <f aca="true" t="shared" si="51" ref="E187:E195">SUM(C187:D187)</f>
        <v>374600</v>
      </c>
      <c r="F187" s="37">
        <v>3159</v>
      </c>
      <c r="G187" s="37">
        <v>0</v>
      </c>
      <c r="H187" s="36">
        <f t="shared" si="49"/>
        <v>3159</v>
      </c>
      <c r="I187" s="36">
        <f t="shared" si="50"/>
        <v>377759</v>
      </c>
      <c r="J187" s="36">
        <f t="shared" si="50"/>
        <v>0</v>
      </c>
      <c r="K187" s="36">
        <f t="shared" si="50"/>
        <v>377759</v>
      </c>
    </row>
    <row r="188" spans="1:11" s="9" customFormat="1" ht="15" customHeight="1">
      <c r="A188" s="24" t="s">
        <v>38</v>
      </c>
      <c r="B188" s="9" t="s">
        <v>54</v>
      </c>
      <c r="C188" s="25">
        <v>71000</v>
      </c>
      <c r="D188" s="25">
        <v>0</v>
      </c>
      <c r="E188" s="26">
        <f t="shared" si="51"/>
        <v>71000</v>
      </c>
      <c r="F188" s="25">
        <v>-840</v>
      </c>
      <c r="G188" s="25">
        <v>0</v>
      </c>
      <c r="H188" s="26">
        <f t="shared" si="49"/>
        <v>-840</v>
      </c>
      <c r="I188" s="26">
        <f t="shared" si="50"/>
        <v>70160</v>
      </c>
      <c r="J188" s="26">
        <f t="shared" si="50"/>
        <v>0</v>
      </c>
      <c r="K188" s="26">
        <f t="shared" si="50"/>
        <v>70160</v>
      </c>
    </row>
    <row r="189" spans="1:11" s="34" customFormat="1" ht="15" customHeight="1">
      <c r="A189" s="33" t="s">
        <v>42</v>
      </c>
      <c r="B189" s="34" t="s">
        <v>39</v>
      </c>
      <c r="C189" s="35">
        <v>9800</v>
      </c>
      <c r="D189" s="35">
        <v>0</v>
      </c>
      <c r="E189" s="36">
        <f t="shared" si="51"/>
        <v>9800</v>
      </c>
      <c r="F189" s="37">
        <v>-105</v>
      </c>
      <c r="G189" s="37">
        <v>0</v>
      </c>
      <c r="H189" s="36">
        <f t="shared" si="49"/>
        <v>-105</v>
      </c>
      <c r="I189" s="36">
        <f t="shared" si="50"/>
        <v>9695</v>
      </c>
      <c r="J189" s="36">
        <f t="shared" si="50"/>
        <v>0</v>
      </c>
      <c r="K189" s="36">
        <f t="shared" si="50"/>
        <v>9695</v>
      </c>
    </row>
    <row r="190" spans="1:11" s="38" customFormat="1" ht="15" customHeight="1">
      <c r="A190" s="33" t="s">
        <v>49</v>
      </c>
      <c r="B190" s="34" t="s">
        <v>81</v>
      </c>
      <c r="C190" s="37">
        <v>3000</v>
      </c>
      <c r="D190" s="37">
        <v>0</v>
      </c>
      <c r="E190" s="36">
        <f t="shared" si="51"/>
        <v>3000</v>
      </c>
      <c r="F190" s="37">
        <v>-1290</v>
      </c>
      <c r="G190" s="37">
        <v>0</v>
      </c>
      <c r="H190" s="36">
        <f t="shared" si="49"/>
        <v>-1290</v>
      </c>
      <c r="I190" s="36">
        <f t="shared" si="50"/>
        <v>1710</v>
      </c>
      <c r="J190" s="36">
        <f t="shared" si="50"/>
        <v>0</v>
      </c>
      <c r="K190" s="36">
        <f t="shared" si="50"/>
        <v>1710</v>
      </c>
    </row>
    <row r="191" spans="1:11" s="38" customFormat="1" ht="15" customHeight="1">
      <c r="A191" s="33" t="s">
        <v>55</v>
      </c>
      <c r="B191" s="34" t="s">
        <v>56</v>
      </c>
      <c r="C191" s="37">
        <v>35000</v>
      </c>
      <c r="D191" s="37">
        <v>0</v>
      </c>
      <c r="E191" s="36">
        <f t="shared" si="51"/>
        <v>35000</v>
      </c>
      <c r="F191" s="37">
        <v>2000</v>
      </c>
      <c r="G191" s="37">
        <v>0</v>
      </c>
      <c r="H191" s="36">
        <f t="shared" si="49"/>
        <v>2000</v>
      </c>
      <c r="I191" s="36">
        <f t="shared" si="50"/>
        <v>37000</v>
      </c>
      <c r="J191" s="36">
        <f t="shared" si="50"/>
        <v>0</v>
      </c>
      <c r="K191" s="36">
        <f t="shared" si="50"/>
        <v>37000</v>
      </c>
    </row>
    <row r="192" spans="1:11" s="50" customFormat="1" ht="15" customHeight="1">
      <c r="A192" s="33" t="s">
        <v>21</v>
      </c>
      <c r="B192" s="34" t="s">
        <v>22</v>
      </c>
      <c r="C192" s="37">
        <v>45000</v>
      </c>
      <c r="D192" s="37">
        <v>0</v>
      </c>
      <c r="E192" s="36">
        <f t="shared" si="51"/>
        <v>45000</v>
      </c>
      <c r="F192" s="37">
        <v>-2500</v>
      </c>
      <c r="G192" s="37">
        <v>0</v>
      </c>
      <c r="H192" s="36">
        <f t="shared" si="49"/>
        <v>-2500</v>
      </c>
      <c r="I192" s="36">
        <f t="shared" si="50"/>
        <v>42500</v>
      </c>
      <c r="J192" s="36">
        <f t="shared" si="50"/>
        <v>0</v>
      </c>
      <c r="K192" s="36">
        <f>E192+H192</f>
        <v>42500</v>
      </c>
    </row>
    <row r="193" spans="1:11" s="39" customFormat="1" ht="15" customHeight="1">
      <c r="A193" s="33" t="s">
        <v>18</v>
      </c>
      <c r="B193" s="34" t="s">
        <v>19</v>
      </c>
      <c r="C193" s="35">
        <v>50638</v>
      </c>
      <c r="D193" s="35">
        <v>0</v>
      </c>
      <c r="E193" s="36">
        <f t="shared" si="51"/>
        <v>50638</v>
      </c>
      <c r="F193" s="37">
        <v>3300</v>
      </c>
      <c r="G193" s="37">
        <v>0</v>
      </c>
      <c r="H193" s="36">
        <f t="shared" si="49"/>
        <v>3300</v>
      </c>
      <c r="I193" s="36">
        <f t="shared" si="50"/>
        <v>53938</v>
      </c>
      <c r="J193" s="36">
        <f t="shared" si="50"/>
        <v>0</v>
      </c>
      <c r="K193" s="36">
        <f>E193+H193</f>
        <v>53938</v>
      </c>
    </row>
    <row r="194" spans="1:11" s="38" customFormat="1" ht="15" customHeight="1">
      <c r="A194" s="33" t="s">
        <v>27</v>
      </c>
      <c r="B194" s="34" t="s">
        <v>28</v>
      </c>
      <c r="C194" s="37">
        <v>8000</v>
      </c>
      <c r="D194" s="37">
        <v>0</v>
      </c>
      <c r="E194" s="36">
        <f t="shared" si="51"/>
        <v>8000</v>
      </c>
      <c r="F194" s="37">
        <v>522</v>
      </c>
      <c r="G194" s="37">
        <v>0</v>
      </c>
      <c r="H194" s="36">
        <f t="shared" si="49"/>
        <v>522</v>
      </c>
      <c r="I194" s="36">
        <f t="shared" si="50"/>
        <v>8522</v>
      </c>
      <c r="J194" s="36">
        <f t="shared" si="50"/>
        <v>0</v>
      </c>
      <c r="K194" s="36">
        <f>E194+H194</f>
        <v>8522</v>
      </c>
    </row>
    <row r="195" spans="1:11" s="38" customFormat="1" ht="15" customHeight="1">
      <c r="A195" s="40" t="s">
        <v>120</v>
      </c>
      <c r="B195" s="38" t="s">
        <v>121</v>
      </c>
      <c r="C195" s="35">
        <v>1000</v>
      </c>
      <c r="D195" s="35">
        <v>0</v>
      </c>
      <c r="E195" s="36">
        <f t="shared" si="51"/>
        <v>1000</v>
      </c>
      <c r="F195" s="37">
        <v>-246</v>
      </c>
      <c r="G195" s="37">
        <v>0</v>
      </c>
      <c r="H195" s="36">
        <f t="shared" si="49"/>
        <v>-246</v>
      </c>
      <c r="I195" s="36">
        <f t="shared" si="50"/>
        <v>754</v>
      </c>
      <c r="J195" s="36">
        <f t="shared" si="50"/>
        <v>0</v>
      </c>
      <c r="K195" s="36">
        <f>E195+H195</f>
        <v>754</v>
      </c>
    </row>
    <row r="196" spans="1:11" s="6" customFormat="1" ht="15" customHeight="1">
      <c r="A196" s="2" t="s">
        <v>58</v>
      </c>
      <c r="B196" s="13" t="s">
        <v>59</v>
      </c>
      <c r="C196" s="14">
        <v>3152302</v>
      </c>
      <c r="D196" s="14">
        <v>688459</v>
      </c>
      <c r="E196" s="5">
        <f>SUM(C196:D196)</f>
        <v>3840761</v>
      </c>
      <c r="F196" s="14">
        <f>F199</f>
        <v>-56654</v>
      </c>
      <c r="G196" s="14">
        <v>0</v>
      </c>
      <c r="H196" s="5">
        <f>F196+G196</f>
        <v>-56654</v>
      </c>
      <c r="I196" s="5">
        <f>C196+F196</f>
        <v>3095648</v>
      </c>
      <c r="J196" s="5">
        <f>D196+G196</f>
        <v>688459</v>
      </c>
      <c r="K196" s="5">
        <f>E196+H196</f>
        <v>3784107</v>
      </c>
    </row>
    <row r="197" spans="1:11" s="9" customFormat="1" ht="15" customHeight="1">
      <c r="A197" s="15"/>
      <c r="B197" s="16" t="s">
        <v>12</v>
      </c>
      <c r="C197" s="17"/>
      <c r="D197" s="17"/>
      <c r="E197" s="8"/>
      <c r="F197" s="17"/>
      <c r="G197" s="17"/>
      <c r="H197" s="8"/>
      <c r="I197" s="8"/>
      <c r="J197" s="8"/>
      <c r="K197" s="8"/>
    </row>
    <row r="198" spans="1:11" s="12" customFormat="1" ht="15" customHeight="1">
      <c r="A198" s="18"/>
      <c r="B198" s="19" t="s">
        <v>13</v>
      </c>
      <c r="C198" s="20">
        <v>0</v>
      </c>
      <c r="D198" s="20">
        <v>0</v>
      </c>
      <c r="E198" s="11">
        <f>SUM(C198:D198)</f>
        <v>0</v>
      </c>
      <c r="F198" s="20">
        <v>0</v>
      </c>
      <c r="G198" s="20">
        <v>0</v>
      </c>
      <c r="H198" s="11">
        <f>F198+G198</f>
        <v>0</v>
      </c>
      <c r="I198" s="11">
        <f aca="true" t="shared" si="52" ref="I198:K207">C198+F198</f>
        <v>0</v>
      </c>
      <c r="J198" s="11">
        <f t="shared" si="52"/>
        <v>0</v>
      </c>
      <c r="K198" s="11">
        <f t="shared" si="52"/>
        <v>0</v>
      </c>
    </row>
    <row r="199" spans="1:11" s="80" customFormat="1" ht="15" customHeight="1">
      <c r="A199" s="126">
        <v>85401</v>
      </c>
      <c r="B199" s="127" t="s">
        <v>60</v>
      </c>
      <c r="C199" s="81">
        <v>3075089</v>
      </c>
      <c r="D199" s="81">
        <v>0</v>
      </c>
      <c r="E199" s="49">
        <f aca="true" t="shared" si="53" ref="E199:E207">SUM(C199:D199)</f>
        <v>3075089</v>
      </c>
      <c r="F199" s="128">
        <f>SUM(F200:F207)</f>
        <v>-56654</v>
      </c>
      <c r="G199" s="128">
        <v>0</v>
      </c>
      <c r="H199" s="49">
        <f aca="true" t="shared" si="54" ref="H199:H207">F199+G199</f>
        <v>-56654</v>
      </c>
      <c r="I199" s="49">
        <f t="shared" si="52"/>
        <v>3018435</v>
      </c>
      <c r="J199" s="49">
        <f t="shared" si="52"/>
        <v>0</v>
      </c>
      <c r="K199" s="49">
        <f t="shared" si="52"/>
        <v>3018435</v>
      </c>
    </row>
    <row r="200" spans="1:11" s="84" customFormat="1" ht="15" customHeight="1">
      <c r="A200" s="86" t="s">
        <v>36</v>
      </c>
      <c r="B200" s="87" t="s">
        <v>160</v>
      </c>
      <c r="C200" s="85">
        <v>1596943</v>
      </c>
      <c r="D200" s="85">
        <v>0</v>
      </c>
      <c r="E200" s="36">
        <f t="shared" si="53"/>
        <v>1596943</v>
      </c>
      <c r="F200" s="88">
        <f>-4000-9000+3310-200-31800+3000</f>
        <v>-38690</v>
      </c>
      <c r="G200" s="88">
        <v>0</v>
      </c>
      <c r="H200" s="36">
        <f t="shared" si="54"/>
        <v>-38690</v>
      </c>
      <c r="I200" s="36">
        <f t="shared" si="52"/>
        <v>1558253</v>
      </c>
      <c r="J200" s="36">
        <f t="shared" si="52"/>
        <v>0</v>
      </c>
      <c r="K200" s="36">
        <f t="shared" si="52"/>
        <v>1558253</v>
      </c>
    </row>
    <row r="201" spans="1:11" s="84" customFormat="1" ht="15" customHeight="1">
      <c r="A201" s="86" t="s">
        <v>38</v>
      </c>
      <c r="B201" s="87" t="s">
        <v>39</v>
      </c>
      <c r="C201" s="88">
        <v>284573</v>
      </c>
      <c r="D201" s="88">
        <v>0</v>
      </c>
      <c r="E201" s="36">
        <f t="shared" si="53"/>
        <v>284573</v>
      </c>
      <c r="F201" s="88">
        <f>-1373-5500-1760+2500+200+2642</f>
        <v>-3291</v>
      </c>
      <c r="G201" s="88">
        <v>0</v>
      </c>
      <c r="H201" s="36">
        <f t="shared" si="54"/>
        <v>-3291</v>
      </c>
      <c r="I201" s="36">
        <f t="shared" si="52"/>
        <v>281282</v>
      </c>
      <c r="J201" s="36">
        <f t="shared" si="52"/>
        <v>0</v>
      </c>
      <c r="K201" s="36">
        <f t="shared" si="52"/>
        <v>281282</v>
      </c>
    </row>
    <row r="202" spans="1:11" s="90" customFormat="1" ht="15" customHeight="1">
      <c r="A202" s="89" t="s">
        <v>42</v>
      </c>
      <c r="B202" s="90" t="s">
        <v>43</v>
      </c>
      <c r="C202" s="91">
        <v>39757</v>
      </c>
      <c r="D202" s="91">
        <v>0</v>
      </c>
      <c r="E202" s="26">
        <f>SUM(C202:D202)</f>
        <v>39757</v>
      </c>
      <c r="F202" s="91">
        <f>-187-1540-520+500+360</f>
        <v>-1387</v>
      </c>
      <c r="G202" s="91">
        <v>0</v>
      </c>
      <c r="H202" s="26">
        <f t="shared" si="54"/>
        <v>-1387</v>
      </c>
      <c r="I202" s="26">
        <f t="shared" si="52"/>
        <v>38370</v>
      </c>
      <c r="J202" s="26">
        <f t="shared" si="52"/>
        <v>0</v>
      </c>
      <c r="K202" s="26">
        <f t="shared" si="52"/>
        <v>38370</v>
      </c>
    </row>
    <row r="203" spans="1:11" s="84" customFormat="1" ht="15" customHeight="1">
      <c r="A203" s="86" t="s">
        <v>40</v>
      </c>
      <c r="B203" s="87" t="s">
        <v>41</v>
      </c>
      <c r="C203" s="88">
        <v>39981</v>
      </c>
      <c r="D203" s="88">
        <v>0</v>
      </c>
      <c r="E203" s="36">
        <f t="shared" si="53"/>
        <v>39981</v>
      </c>
      <c r="F203" s="88">
        <f>1400-800-2500-1200+2197</f>
        <v>-903</v>
      </c>
      <c r="G203" s="88">
        <v>0</v>
      </c>
      <c r="H203" s="36">
        <f t="shared" si="54"/>
        <v>-903</v>
      </c>
      <c r="I203" s="36">
        <f t="shared" si="52"/>
        <v>39078</v>
      </c>
      <c r="J203" s="36">
        <f t="shared" si="52"/>
        <v>0</v>
      </c>
      <c r="K203" s="36">
        <f t="shared" si="52"/>
        <v>39078</v>
      </c>
    </row>
    <row r="204" spans="1:11" s="84" customFormat="1" ht="15" customHeight="1">
      <c r="A204" s="86" t="s">
        <v>55</v>
      </c>
      <c r="B204" s="87" t="s">
        <v>56</v>
      </c>
      <c r="C204" s="85">
        <v>915530</v>
      </c>
      <c r="D204" s="85">
        <v>0</v>
      </c>
      <c r="E204" s="36">
        <f t="shared" si="53"/>
        <v>915530</v>
      </c>
      <c r="F204" s="88">
        <f>-3300-1400-2000+900-1000-891+2500-4245</f>
        <v>-9436</v>
      </c>
      <c r="G204" s="88">
        <v>0</v>
      </c>
      <c r="H204" s="36">
        <f t="shared" si="54"/>
        <v>-9436</v>
      </c>
      <c r="I204" s="36">
        <f t="shared" si="52"/>
        <v>906094</v>
      </c>
      <c r="J204" s="36">
        <f t="shared" si="52"/>
        <v>0</v>
      </c>
      <c r="K204" s="36">
        <f t="shared" si="52"/>
        <v>906094</v>
      </c>
    </row>
    <row r="205" spans="1:11" s="84" customFormat="1" ht="15" customHeight="1">
      <c r="A205" s="86" t="s">
        <v>45</v>
      </c>
      <c r="B205" s="87" t="s">
        <v>161</v>
      </c>
      <c r="C205" s="88">
        <v>840</v>
      </c>
      <c r="D205" s="88">
        <v>0</v>
      </c>
      <c r="E205" s="36">
        <f t="shared" si="53"/>
        <v>840</v>
      </c>
      <c r="F205" s="88">
        <f>-500</f>
        <v>-500</v>
      </c>
      <c r="G205" s="88">
        <v>0</v>
      </c>
      <c r="H205" s="36">
        <f t="shared" si="54"/>
        <v>-500</v>
      </c>
      <c r="I205" s="36">
        <f t="shared" si="52"/>
        <v>340</v>
      </c>
      <c r="J205" s="36">
        <f t="shared" si="52"/>
        <v>0</v>
      </c>
      <c r="K205" s="36">
        <f t="shared" si="52"/>
        <v>340</v>
      </c>
    </row>
    <row r="206" spans="1:11" s="84" customFormat="1" ht="15" customHeight="1">
      <c r="A206" s="86" t="s">
        <v>18</v>
      </c>
      <c r="B206" s="87" t="s">
        <v>19</v>
      </c>
      <c r="C206" s="85">
        <v>4223</v>
      </c>
      <c r="D206" s="85">
        <v>0</v>
      </c>
      <c r="E206" s="36">
        <f t="shared" si="53"/>
        <v>4223</v>
      </c>
      <c r="F206" s="88">
        <f>-870+3100-500-900</f>
        <v>830</v>
      </c>
      <c r="G206" s="88">
        <v>0</v>
      </c>
      <c r="H206" s="36">
        <f t="shared" si="54"/>
        <v>830</v>
      </c>
      <c r="I206" s="36">
        <f t="shared" si="52"/>
        <v>5053</v>
      </c>
      <c r="J206" s="36">
        <f t="shared" si="52"/>
        <v>0</v>
      </c>
      <c r="K206" s="36">
        <f t="shared" si="52"/>
        <v>5053</v>
      </c>
    </row>
    <row r="207" spans="1:11" s="84" customFormat="1" ht="15" customHeight="1">
      <c r="A207" s="86" t="s">
        <v>27</v>
      </c>
      <c r="B207" s="87" t="s">
        <v>28</v>
      </c>
      <c r="C207" s="88">
        <v>7459</v>
      </c>
      <c r="D207" s="88">
        <v>0</v>
      </c>
      <c r="E207" s="36">
        <f t="shared" si="53"/>
        <v>7459</v>
      </c>
      <c r="F207" s="88">
        <f>-860-300-200-900-820-197</f>
        <v>-3277</v>
      </c>
      <c r="G207" s="88">
        <v>0</v>
      </c>
      <c r="H207" s="36">
        <f t="shared" si="54"/>
        <v>-3277</v>
      </c>
      <c r="I207" s="36">
        <f t="shared" si="52"/>
        <v>4182</v>
      </c>
      <c r="J207" s="36">
        <f t="shared" si="52"/>
        <v>0</v>
      </c>
      <c r="K207" s="36">
        <f t="shared" si="52"/>
        <v>4182</v>
      </c>
    </row>
    <row r="208" spans="1:11" s="39" customFormat="1" ht="15" customHeight="1">
      <c r="A208" s="61" t="s">
        <v>61</v>
      </c>
      <c r="B208" s="62" t="s">
        <v>62</v>
      </c>
      <c r="C208" s="63">
        <v>10577242</v>
      </c>
      <c r="D208" s="63">
        <v>0</v>
      </c>
      <c r="E208" s="64">
        <f>SUM(C208:D208)</f>
        <v>10577242</v>
      </c>
      <c r="F208" s="63">
        <f>F212+F214+F216</f>
        <v>-175980</v>
      </c>
      <c r="G208" s="63">
        <v>0</v>
      </c>
      <c r="H208" s="64">
        <f>F208+G208</f>
        <v>-175980</v>
      </c>
      <c r="I208" s="64">
        <f>C208+F208</f>
        <v>10401262</v>
      </c>
      <c r="J208" s="64">
        <f>D208+G208</f>
        <v>0</v>
      </c>
      <c r="K208" s="64">
        <f>E208+H208</f>
        <v>10401262</v>
      </c>
    </row>
    <row r="209" spans="1:11" s="39" customFormat="1" ht="15" customHeight="1">
      <c r="A209" s="65"/>
      <c r="B209" s="66" t="s">
        <v>12</v>
      </c>
      <c r="C209" s="67"/>
      <c r="D209" s="67"/>
      <c r="E209" s="68"/>
      <c r="F209" s="67"/>
      <c r="G209" s="67"/>
      <c r="H209" s="68"/>
      <c r="I209" s="68"/>
      <c r="J209" s="68"/>
      <c r="K209" s="68"/>
    </row>
    <row r="210" spans="1:11" s="39" customFormat="1" ht="15" customHeight="1">
      <c r="A210" s="65"/>
      <c r="B210" s="66" t="s">
        <v>13</v>
      </c>
      <c r="C210" s="67">
        <v>4250946</v>
      </c>
      <c r="D210" s="67">
        <v>0</v>
      </c>
      <c r="E210" s="68">
        <f>SUM(C210:D210)</f>
        <v>4250946</v>
      </c>
      <c r="F210" s="67">
        <f>F226</f>
        <v>-20900</v>
      </c>
      <c r="G210" s="67">
        <v>0</v>
      </c>
      <c r="H210" s="68">
        <f>F210+G210</f>
        <v>-20900</v>
      </c>
      <c r="I210" s="68">
        <f aca="true" t="shared" si="55" ref="I210:K225">C210+F210</f>
        <v>4230046</v>
      </c>
      <c r="J210" s="68">
        <f t="shared" si="55"/>
        <v>0</v>
      </c>
      <c r="K210" s="68">
        <f t="shared" si="55"/>
        <v>4230046</v>
      </c>
    </row>
    <row r="211" spans="1:11" s="136" customFormat="1" ht="15" customHeight="1">
      <c r="A211" s="141"/>
      <c r="B211" s="142"/>
      <c r="C211" s="143"/>
      <c r="D211" s="143"/>
      <c r="E211" s="144"/>
      <c r="F211" s="143"/>
      <c r="G211" s="143"/>
      <c r="H211" s="144"/>
      <c r="I211" s="144"/>
      <c r="J211" s="144"/>
      <c r="K211" s="144"/>
    </row>
    <row r="212" spans="1:11" s="39" customFormat="1" ht="15" customHeight="1">
      <c r="A212" s="33">
        <v>90001</v>
      </c>
      <c r="B212" s="34" t="s">
        <v>63</v>
      </c>
      <c r="C212" s="35">
        <v>333392</v>
      </c>
      <c r="D212" s="35">
        <v>0</v>
      </c>
      <c r="E212" s="36">
        <f>SUM(C212:D212)</f>
        <v>333392</v>
      </c>
      <c r="F212" s="37">
        <f>SUM(F213:F213)</f>
        <v>1500</v>
      </c>
      <c r="G212" s="37">
        <v>0</v>
      </c>
      <c r="H212" s="36">
        <f>F212+G212</f>
        <v>1500</v>
      </c>
      <c r="I212" s="36">
        <f t="shared" si="55"/>
        <v>334892</v>
      </c>
      <c r="J212" s="36">
        <f t="shared" si="55"/>
        <v>0</v>
      </c>
      <c r="K212" s="36">
        <f t="shared" si="55"/>
        <v>334892</v>
      </c>
    </row>
    <row r="213" spans="1:11" s="39" customFormat="1" ht="15" customHeight="1">
      <c r="A213" s="33" t="s">
        <v>27</v>
      </c>
      <c r="B213" s="34" t="s">
        <v>28</v>
      </c>
      <c r="C213" s="35">
        <v>298392</v>
      </c>
      <c r="D213" s="35">
        <v>0</v>
      </c>
      <c r="E213" s="36">
        <f>SUM(C213:D213)</f>
        <v>298392</v>
      </c>
      <c r="F213" s="37">
        <v>1500</v>
      </c>
      <c r="G213" s="37">
        <v>0</v>
      </c>
      <c r="H213" s="36">
        <f>F213+G213</f>
        <v>1500</v>
      </c>
      <c r="I213" s="36">
        <f t="shared" si="55"/>
        <v>299892</v>
      </c>
      <c r="J213" s="36">
        <f t="shared" si="55"/>
        <v>0</v>
      </c>
      <c r="K213" s="36">
        <f t="shared" si="55"/>
        <v>299892</v>
      </c>
    </row>
    <row r="214" spans="1:11" s="39" customFormat="1" ht="15" customHeight="1">
      <c r="A214" s="46">
        <v>90013</v>
      </c>
      <c r="B214" s="47" t="s">
        <v>119</v>
      </c>
      <c r="C214" s="56">
        <v>157240</v>
      </c>
      <c r="D214" s="56">
        <v>0</v>
      </c>
      <c r="E214" s="49">
        <f>SUM(C214:D214)</f>
        <v>157240</v>
      </c>
      <c r="F214" s="48">
        <f>SUM(F215:F215)</f>
        <v>12000</v>
      </c>
      <c r="G214" s="48">
        <v>0</v>
      </c>
      <c r="H214" s="49">
        <f>F214+G214</f>
        <v>12000</v>
      </c>
      <c r="I214" s="49">
        <f t="shared" si="55"/>
        <v>169240</v>
      </c>
      <c r="J214" s="49">
        <f t="shared" si="55"/>
        <v>0</v>
      </c>
      <c r="K214" s="49">
        <f t="shared" si="55"/>
        <v>169240</v>
      </c>
    </row>
    <row r="215" spans="1:11" s="39" customFormat="1" ht="15" customHeight="1">
      <c r="A215" s="33" t="s">
        <v>18</v>
      </c>
      <c r="B215" s="34" t="s">
        <v>19</v>
      </c>
      <c r="C215" s="35">
        <v>0</v>
      </c>
      <c r="D215" s="35">
        <v>0</v>
      </c>
      <c r="E215" s="36">
        <f>SUM(C215:D215)</f>
        <v>0</v>
      </c>
      <c r="F215" s="37">
        <v>12000</v>
      </c>
      <c r="G215" s="37">
        <v>0</v>
      </c>
      <c r="H215" s="36">
        <f>F215+G215</f>
        <v>12000</v>
      </c>
      <c r="I215" s="36">
        <f t="shared" si="55"/>
        <v>12000</v>
      </c>
      <c r="J215" s="36">
        <f t="shared" si="55"/>
        <v>0</v>
      </c>
      <c r="K215" s="36">
        <f t="shared" si="55"/>
        <v>12000</v>
      </c>
    </row>
    <row r="216" spans="1:11" s="104" customFormat="1" ht="15" customHeight="1">
      <c r="A216" s="126">
        <v>90095</v>
      </c>
      <c r="B216" s="127" t="s">
        <v>110</v>
      </c>
      <c r="C216" s="81">
        <v>6079895</v>
      </c>
      <c r="D216" s="81">
        <v>0</v>
      </c>
      <c r="E216" s="49">
        <f aca="true" t="shared" si="56" ref="E216:E226">SUM(C216:D216)</f>
        <v>6079895</v>
      </c>
      <c r="F216" s="128">
        <f>SUM(F217:F226)</f>
        <v>-189480</v>
      </c>
      <c r="G216" s="128">
        <v>0</v>
      </c>
      <c r="H216" s="49">
        <f aca="true" t="shared" si="57" ref="H216:H226">F216+G216</f>
        <v>-189480</v>
      </c>
      <c r="I216" s="49">
        <f t="shared" si="55"/>
        <v>5890415</v>
      </c>
      <c r="J216" s="49">
        <f t="shared" si="55"/>
        <v>0</v>
      </c>
      <c r="K216" s="49">
        <f t="shared" si="55"/>
        <v>5890415</v>
      </c>
    </row>
    <row r="217" spans="1:11" s="90" customFormat="1" ht="15" customHeight="1">
      <c r="A217" s="89" t="s">
        <v>128</v>
      </c>
      <c r="B217" s="90" t="s">
        <v>129</v>
      </c>
      <c r="C217" s="91">
        <v>5000</v>
      </c>
      <c r="D217" s="91">
        <v>0</v>
      </c>
      <c r="E217" s="26">
        <f t="shared" si="56"/>
        <v>5000</v>
      </c>
      <c r="F217" s="91">
        <v>-3800</v>
      </c>
      <c r="G217" s="91">
        <v>0</v>
      </c>
      <c r="H217" s="26">
        <f t="shared" si="57"/>
        <v>-3800</v>
      </c>
      <c r="I217" s="26">
        <f t="shared" si="55"/>
        <v>1200</v>
      </c>
      <c r="J217" s="26">
        <f t="shared" si="55"/>
        <v>0</v>
      </c>
      <c r="K217" s="26">
        <f t="shared" si="55"/>
        <v>1200</v>
      </c>
    </row>
    <row r="218" spans="1:11" s="90" customFormat="1" ht="15" customHeight="1">
      <c r="A218" s="89" t="s">
        <v>170</v>
      </c>
      <c r="B218" s="90" t="s">
        <v>171</v>
      </c>
      <c r="C218" s="91">
        <v>130000</v>
      </c>
      <c r="D218" s="91">
        <v>0</v>
      </c>
      <c r="E218" s="26">
        <f>SUM(C218:D218)</f>
        <v>130000</v>
      </c>
      <c r="F218" s="91">
        <v>-6720</v>
      </c>
      <c r="G218" s="91">
        <v>0</v>
      </c>
      <c r="H218" s="26">
        <f>F218+G218</f>
        <v>-6720</v>
      </c>
      <c r="I218" s="26">
        <f t="shared" si="55"/>
        <v>123280</v>
      </c>
      <c r="J218" s="26">
        <f t="shared" si="55"/>
        <v>0</v>
      </c>
      <c r="K218" s="26">
        <f t="shared" si="55"/>
        <v>123280</v>
      </c>
    </row>
    <row r="219" spans="1:11" s="90" customFormat="1" ht="15" customHeight="1">
      <c r="A219" s="89" t="s">
        <v>49</v>
      </c>
      <c r="B219" s="90" t="s">
        <v>81</v>
      </c>
      <c r="C219" s="91">
        <v>67952</v>
      </c>
      <c r="D219" s="91">
        <v>0</v>
      </c>
      <c r="E219" s="26">
        <f>SUM(C219:D219)</f>
        <v>67952</v>
      </c>
      <c r="F219" s="91">
        <f>-10000-30000</f>
        <v>-40000</v>
      </c>
      <c r="G219" s="91">
        <v>0</v>
      </c>
      <c r="H219" s="26">
        <f>F219+G219</f>
        <v>-40000</v>
      </c>
      <c r="I219" s="26">
        <f>C219+F219</f>
        <v>27952</v>
      </c>
      <c r="J219" s="26">
        <f>D219+G219</f>
        <v>0</v>
      </c>
      <c r="K219" s="26">
        <f>E219+H219</f>
        <v>27952</v>
      </c>
    </row>
    <row r="220" spans="1:11" s="38" customFormat="1" ht="13.5" customHeight="1">
      <c r="A220" s="33" t="s">
        <v>40</v>
      </c>
      <c r="B220" s="34" t="s">
        <v>41</v>
      </c>
      <c r="C220" s="37">
        <v>62000</v>
      </c>
      <c r="D220" s="37">
        <v>0</v>
      </c>
      <c r="E220" s="36">
        <f t="shared" si="56"/>
        <v>62000</v>
      </c>
      <c r="F220" s="37">
        <v>-2200</v>
      </c>
      <c r="G220" s="37">
        <v>0</v>
      </c>
      <c r="H220" s="36">
        <f t="shared" si="57"/>
        <v>-2200</v>
      </c>
      <c r="I220" s="36">
        <f t="shared" si="55"/>
        <v>59800</v>
      </c>
      <c r="J220" s="36">
        <f t="shared" si="55"/>
        <v>0</v>
      </c>
      <c r="K220" s="36">
        <f t="shared" si="55"/>
        <v>59800</v>
      </c>
    </row>
    <row r="221" spans="1:11" s="84" customFormat="1" ht="15" customHeight="1">
      <c r="A221" s="86" t="s">
        <v>18</v>
      </c>
      <c r="B221" s="87" t="s">
        <v>19</v>
      </c>
      <c r="C221" s="85">
        <v>85897</v>
      </c>
      <c r="D221" s="85">
        <v>0</v>
      </c>
      <c r="E221" s="36">
        <f t="shared" si="56"/>
        <v>85897</v>
      </c>
      <c r="F221" s="88">
        <f>50000-5000</f>
        <v>45000</v>
      </c>
      <c r="G221" s="88">
        <v>0</v>
      </c>
      <c r="H221" s="36">
        <f t="shared" si="57"/>
        <v>45000</v>
      </c>
      <c r="I221" s="36">
        <f t="shared" si="55"/>
        <v>130897</v>
      </c>
      <c r="J221" s="36">
        <f t="shared" si="55"/>
        <v>0</v>
      </c>
      <c r="K221" s="36">
        <f t="shared" si="55"/>
        <v>130897</v>
      </c>
    </row>
    <row r="222" spans="1:11" s="50" customFormat="1" ht="15" customHeight="1">
      <c r="A222" s="33" t="s">
        <v>27</v>
      </c>
      <c r="B222" s="34" t="s">
        <v>28</v>
      </c>
      <c r="C222" s="35">
        <v>1128810</v>
      </c>
      <c r="D222" s="35">
        <v>0</v>
      </c>
      <c r="E222" s="36">
        <f t="shared" si="56"/>
        <v>1128810</v>
      </c>
      <c r="F222" s="37">
        <f>-35460-330-50000-1500-70000</f>
        <v>-157290</v>
      </c>
      <c r="G222" s="37">
        <v>0</v>
      </c>
      <c r="H222" s="36">
        <f t="shared" si="57"/>
        <v>-157290</v>
      </c>
      <c r="I222" s="36">
        <f t="shared" si="55"/>
        <v>971520</v>
      </c>
      <c r="J222" s="36">
        <f t="shared" si="55"/>
        <v>0</v>
      </c>
      <c r="K222" s="36">
        <f t="shared" si="55"/>
        <v>971520</v>
      </c>
    </row>
    <row r="223" spans="1:11" s="50" customFormat="1" ht="15" customHeight="1">
      <c r="A223" s="33" t="s">
        <v>107</v>
      </c>
      <c r="B223" s="34" t="s">
        <v>190</v>
      </c>
      <c r="C223" s="35">
        <v>600</v>
      </c>
      <c r="D223" s="35">
        <v>0</v>
      </c>
      <c r="E223" s="36">
        <f t="shared" si="56"/>
        <v>600</v>
      </c>
      <c r="F223" s="37">
        <v>-450</v>
      </c>
      <c r="G223" s="37">
        <v>0</v>
      </c>
      <c r="H223" s="36">
        <f t="shared" si="57"/>
        <v>-450</v>
      </c>
      <c r="I223" s="36">
        <f aca="true" t="shared" si="58" ref="I223:K224">C223+F223</f>
        <v>150</v>
      </c>
      <c r="J223" s="36">
        <f t="shared" si="58"/>
        <v>0</v>
      </c>
      <c r="K223" s="36">
        <f t="shared" si="58"/>
        <v>150</v>
      </c>
    </row>
    <row r="224" spans="1:11" s="50" customFormat="1" ht="15" customHeight="1">
      <c r="A224" s="33" t="s">
        <v>111</v>
      </c>
      <c r="B224" s="34" t="s">
        <v>191</v>
      </c>
      <c r="C224" s="35">
        <v>45000</v>
      </c>
      <c r="D224" s="35">
        <v>0</v>
      </c>
      <c r="E224" s="36">
        <f t="shared" si="56"/>
        <v>45000</v>
      </c>
      <c r="F224" s="37">
        <v>-320</v>
      </c>
      <c r="G224" s="37">
        <v>0</v>
      </c>
      <c r="H224" s="36">
        <f t="shared" si="57"/>
        <v>-320</v>
      </c>
      <c r="I224" s="36">
        <f t="shared" si="58"/>
        <v>44680</v>
      </c>
      <c r="J224" s="36">
        <f t="shared" si="58"/>
        <v>0</v>
      </c>
      <c r="K224" s="36">
        <f t="shared" si="58"/>
        <v>44680</v>
      </c>
    </row>
    <row r="225" spans="1:11" s="50" customFormat="1" ht="15" customHeight="1">
      <c r="A225" s="33" t="s">
        <v>74</v>
      </c>
      <c r="B225" s="34" t="s">
        <v>75</v>
      </c>
      <c r="C225" s="35">
        <v>3000</v>
      </c>
      <c r="D225" s="35">
        <v>0</v>
      </c>
      <c r="E225" s="36">
        <f t="shared" si="56"/>
        <v>3000</v>
      </c>
      <c r="F225" s="37">
        <v>-2800</v>
      </c>
      <c r="G225" s="37">
        <v>0</v>
      </c>
      <c r="H225" s="36">
        <f t="shared" si="57"/>
        <v>-2800</v>
      </c>
      <c r="I225" s="36">
        <f t="shared" si="55"/>
        <v>200</v>
      </c>
      <c r="J225" s="36">
        <f t="shared" si="55"/>
        <v>0</v>
      </c>
      <c r="K225" s="36">
        <f t="shared" si="55"/>
        <v>200</v>
      </c>
    </row>
    <row r="226" spans="1:11" s="53" customFormat="1" ht="15" customHeight="1">
      <c r="A226" s="51" t="s">
        <v>112</v>
      </c>
      <c r="B226" s="52" t="s">
        <v>113</v>
      </c>
      <c r="C226" s="43">
        <v>3840946</v>
      </c>
      <c r="D226" s="43">
        <v>0</v>
      </c>
      <c r="E226" s="44">
        <f t="shared" si="56"/>
        <v>3840946</v>
      </c>
      <c r="F226" s="45">
        <f>-900-20000</f>
        <v>-20900</v>
      </c>
      <c r="G226" s="45">
        <v>0</v>
      </c>
      <c r="H226" s="44">
        <f t="shared" si="57"/>
        <v>-20900</v>
      </c>
      <c r="I226" s="44">
        <f aca="true" t="shared" si="59" ref="I226:K227">C226+F226</f>
        <v>3820046</v>
      </c>
      <c r="J226" s="44">
        <f t="shared" si="59"/>
        <v>0</v>
      </c>
      <c r="K226" s="44">
        <f t="shared" si="59"/>
        <v>3820046</v>
      </c>
    </row>
    <row r="227" spans="1:11" s="115" customFormat="1" ht="15" customHeight="1">
      <c r="A227" s="112" t="s">
        <v>64</v>
      </c>
      <c r="B227" s="113" t="s">
        <v>65</v>
      </c>
      <c r="C227" s="114">
        <v>1901420</v>
      </c>
      <c r="D227" s="114">
        <v>156000</v>
      </c>
      <c r="E227" s="5">
        <f>SUM(C227:D227)</f>
        <v>2057420</v>
      </c>
      <c r="F227" s="114">
        <f>F230+F235+F232</f>
        <v>-16245</v>
      </c>
      <c r="G227" s="114">
        <f>G235</f>
        <v>0</v>
      </c>
      <c r="H227" s="5">
        <f>F227+G227</f>
        <v>-16245</v>
      </c>
      <c r="I227" s="5">
        <f t="shared" si="59"/>
        <v>1885175</v>
      </c>
      <c r="J227" s="5">
        <f t="shared" si="59"/>
        <v>156000</v>
      </c>
      <c r="K227" s="5">
        <f t="shared" si="59"/>
        <v>2041175</v>
      </c>
    </row>
    <row r="228" spans="1:11" s="119" customFormat="1" ht="15" customHeight="1">
      <c r="A228" s="116"/>
      <c r="B228" s="117" t="s">
        <v>12</v>
      </c>
      <c r="C228" s="118"/>
      <c r="D228" s="118"/>
      <c r="E228" s="8"/>
      <c r="F228" s="118"/>
      <c r="G228" s="118"/>
      <c r="H228" s="8"/>
      <c r="I228" s="8"/>
      <c r="J228" s="8"/>
      <c r="K228" s="8"/>
    </row>
    <row r="229" spans="1:11" s="122" customFormat="1" ht="15" customHeight="1">
      <c r="A229" s="120"/>
      <c r="B229" s="10" t="s">
        <v>114</v>
      </c>
      <c r="C229" s="121">
        <v>525000</v>
      </c>
      <c r="D229" s="121">
        <v>150000</v>
      </c>
      <c r="E229" s="11">
        <f aca="true" t="shared" si="60" ref="E229:E235">SUM(C229:D229)</f>
        <v>675000</v>
      </c>
      <c r="F229" s="121">
        <v>0</v>
      </c>
      <c r="G229" s="121">
        <v>0</v>
      </c>
      <c r="H229" s="11">
        <f aca="true" t="shared" si="61" ref="H229:H235">F229+G229</f>
        <v>0</v>
      </c>
      <c r="I229" s="11">
        <f aca="true" t="shared" si="62" ref="I229:K235">C229+F229</f>
        <v>525000</v>
      </c>
      <c r="J229" s="11">
        <f t="shared" si="62"/>
        <v>150000</v>
      </c>
      <c r="K229" s="11">
        <f t="shared" si="62"/>
        <v>675000</v>
      </c>
    </row>
    <row r="230" spans="1:11" s="93" customFormat="1" ht="15" customHeight="1">
      <c r="A230" s="92">
        <v>92105</v>
      </c>
      <c r="B230" s="93" t="s">
        <v>150</v>
      </c>
      <c r="C230" s="94">
        <v>129000</v>
      </c>
      <c r="D230" s="94">
        <v>0</v>
      </c>
      <c r="E230" s="23">
        <f t="shared" si="60"/>
        <v>129000</v>
      </c>
      <c r="F230" s="95">
        <f>SUM(F231:F231)</f>
        <v>-6245</v>
      </c>
      <c r="G230" s="95">
        <f>SUM(G231:G231)</f>
        <v>0</v>
      </c>
      <c r="H230" s="23">
        <f t="shared" si="61"/>
        <v>-6245</v>
      </c>
      <c r="I230" s="23">
        <f t="shared" si="62"/>
        <v>122755</v>
      </c>
      <c r="J230" s="23">
        <f t="shared" si="62"/>
        <v>0</v>
      </c>
      <c r="K230" s="23">
        <f t="shared" si="62"/>
        <v>122755</v>
      </c>
    </row>
    <row r="231" spans="1:11" s="124" customFormat="1" ht="15" customHeight="1">
      <c r="A231" s="123" t="s">
        <v>154</v>
      </c>
      <c r="B231" s="124" t="s">
        <v>155</v>
      </c>
      <c r="C231" s="91">
        <v>129000</v>
      </c>
      <c r="D231" s="91">
        <v>0</v>
      </c>
      <c r="E231" s="26">
        <f t="shared" si="60"/>
        <v>129000</v>
      </c>
      <c r="F231" s="125">
        <v>-6245</v>
      </c>
      <c r="G231" s="125">
        <v>0</v>
      </c>
      <c r="H231" s="26">
        <f t="shared" si="61"/>
        <v>-6245</v>
      </c>
      <c r="I231" s="26">
        <f t="shared" si="62"/>
        <v>122755</v>
      </c>
      <c r="J231" s="26">
        <f t="shared" si="62"/>
        <v>0</v>
      </c>
      <c r="K231" s="26">
        <f t="shared" si="62"/>
        <v>122755</v>
      </c>
    </row>
    <row r="232" spans="1:11" s="93" customFormat="1" ht="15" customHeight="1">
      <c r="A232" s="92">
        <v>92109</v>
      </c>
      <c r="B232" s="93" t="s">
        <v>151</v>
      </c>
      <c r="C232" s="94">
        <v>1136000</v>
      </c>
      <c r="D232" s="94">
        <v>0</v>
      </c>
      <c r="E232" s="23">
        <f>SUM(C232:D232)</f>
        <v>1136000</v>
      </c>
      <c r="F232" s="95">
        <f>SUM(F233:F234)</f>
        <v>0</v>
      </c>
      <c r="G232" s="95">
        <v>0</v>
      </c>
      <c r="H232" s="23">
        <f>F232+G232</f>
        <v>0</v>
      </c>
      <c r="I232" s="23">
        <f t="shared" si="62"/>
        <v>1136000</v>
      </c>
      <c r="J232" s="23">
        <f t="shared" si="62"/>
        <v>0</v>
      </c>
      <c r="K232" s="23">
        <f t="shared" si="62"/>
        <v>1136000</v>
      </c>
    </row>
    <row r="233" spans="1:11" s="124" customFormat="1" ht="15" customHeight="1">
      <c r="A233" s="123" t="s">
        <v>112</v>
      </c>
      <c r="B233" s="124" t="s">
        <v>113</v>
      </c>
      <c r="C233" s="91">
        <v>0</v>
      </c>
      <c r="D233" s="91">
        <v>0</v>
      </c>
      <c r="E233" s="26">
        <f>SUM(C233:D233)</f>
        <v>0</v>
      </c>
      <c r="F233" s="125">
        <v>50000</v>
      </c>
      <c r="G233" s="125">
        <v>0</v>
      </c>
      <c r="H233" s="26">
        <f>F233+G233</f>
        <v>50000</v>
      </c>
      <c r="I233" s="26">
        <f aca="true" t="shared" si="63" ref="I233:K234">C233+F233</f>
        <v>50000</v>
      </c>
      <c r="J233" s="26">
        <f t="shared" si="63"/>
        <v>0</v>
      </c>
      <c r="K233" s="26">
        <f t="shared" si="63"/>
        <v>50000</v>
      </c>
    </row>
    <row r="234" spans="1:11" s="82" customFormat="1" ht="15" customHeight="1">
      <c r="A234" s="86" t="s">
        <v>152</v>
      </c>
      <c r="B234" s="87" t="s">
        <v>153</v>
      </c>
      <c r="C234" s="88">
        <v>100000</v>
      </c>
      <c r="D234" s="88">
        <v>0</v>
      </c>
      <c r="E234" s="36">
        <f>SUM(C234:D234)</f>
        <v>100000</v>
      </c>
      <c r="F234" s="88">
        <v>-50000</v>
      </c>
      <c r="G234" s="88">
        <v>0</v>
      </c>
      <c r="H234" s="36">
        <f>F234+G234</f>
        <v>-50000</v>
      </c>
      <c r="I234" s="36">
        <f t="shared" si="63"/>
        <v>50000</v>
      </c>
      <c r="J234" s="36">
        <f t="shared" si="63"/>
        <v>0</v>
      </c>
      <c r="K234" s="36">
        <f t="shared" si="63"/>
        <v>50000</v>
      </c>
    </row>
    <row r="235" spans="1:11" s="93" customFormat="1" ht="15" customHeight="1">
      <c r="A235" s="92">
        <v>92195</v>
      </c>
      <c r="B235" s="93" t="s">
        <v>110</v>
      </c>
      <c r="C235" s="94">
        <v>636420</v>
      </c>
      <c r="D235" s="94">
        <v>156000</v>
      </c>
      <c r="E235" s="23">
        <f t="shared" si="60"/>
        <v>792420</v>
      </c>
      <c r="F235" s="95">
        <f>SUM(F236:F237)</f>
        <v>-10000</v>
      </c>
      <c r="G235" s="95">
        <f>SUM(G236:G237)</f>
        <v>0</v>
      </c>
      <c r="H235" s="23">
        <f t="shared" si="61"/>
        <v>-10000</v>
      </c>
      <c r="I235" s="23">
        <f t="shared" si="62"/>
        <v>626420</v>
      </c>
      <c r="J235" s="23">
        <f t="shared" si="62"/>
        <v>156000</v>
      </c>
      <c r="K235" s="23">
        <f t="shared" si="62"/>
        <v>782420</v>
      </c>
    </row>
    <row r="236" spans="1:11" s="90" customFormat="1" ht="15" customHeight="1">
      <c r="A236" s="89" t="s">
        <v>49</v>
      </c>
      <c r="B236" s="90" t="s">
        <v>81</v>
      </c>
      <c r="C236" s="91">
        <v>7500</v>
      </c>
      <c r="D236" s="91">
        <v>0</v>
      </c>
      <c r="E236" s="26">
        <f>SUM(C236:D236)</f>
        <v>7500</v>
      </c>
      <c r="F236" s="91">
        <v>1000</v>
      </c>
      <c r="G236" s="91">
        <v>0</v>
      </c>
      <c r="H236" s="26">
        <f>F236+G236</f>
        <v>1000</v>
      </c>
      <c r="I236" s="26">
        <f aca="true" t="shared" si="64" ref="I236:K238">C236+F236</f>
        <v>8500</v>
      </c>
      <c r="J236" s="26">
        <f t="shared" si="64"/>
        <v>0</v>
      </c>
      <c r="K236" s="26">
        <f t="shared" si="64"/>
        <v>8500</v>
      </c>
    </row>
    <row r="237" spans="1:11" s="124" customFormat="1" ht="15" customHeight="1">
      <c r="A237" s="123" t="s">
        <v>27</v>
      </c>
      <c r="B237" s="124" t="s">
        <v>28</v>
      </c>
      <c r="C237" s="91">
        <v>175270</v>
      </c>
      <c r="D237" s="91">
        <v>0</v>
      </c>
      <c r="E237" s="26">
        <f>SUM(C237:D237)</f>
        <v>175270</v>
      </c>
      <c r="F237" s="125">
        <f>-10000-1000</f>
        <v>-11000</v>
      </c>
      <c r="G237" s="125">
        <v>0</v>
      </c>
      <c r="H237" s="26">
        <f>F237+G237</f>
        <v>-11000</v>
      </c>
      <c r="I237" s="26">
        <f t="shared" si="64"/>
        <v>164270</v>
      </c>
      <c r="J237" s="26">
        <f t="shared" si="64"/>
        <v>0</v>
      </c>
      <c r="K237" s="26">
        <f t="shared" si="64"/>
        <v>164270</v>
      </c>
    </row>
    <row r="238" spans="1:11" ht="15" customHeight="1">
      <c r="A238" s="2" t="s">
        <v>88</v>
      </c>
      <c r="B238" s="13" t="s">
        <v>89</v>
      </c>
      <c r="C238" s="14">
        <v>4608524</v>
      </c>
      <c r="D238" s="14">
        <v>0</v>
      </c>
      <c r="E238" s="5">
        <f>SUM(C238:D238)</f>
        <v>4608524</v>
      </c>
      <c r="F238" s="14">
        <f>F242+F250+F252</f>
        <v>-94000</v>
      </c>
      <c r="G238" s="14">
        <v>0</v>
      </c>
      <c r="H238" s="5">
        <f>F238+G238</f>
        <v>-94000</v>
      </c>
      <c r="I238" s="5">
        <f t="shared" si="64"/>
        <v>4514524</v>
      </c>
      <c r="J238" s="5">
        <f t="shared" si="64"/>
        <v>0</v>
      </c>
      <c r="K238" s="5">
        <f t="shared" si="64"/>
        <v>4514524</v>
      </c>
    </row>
    <row r="239" spans="1:11" ht="15" customHeight="1">
      <c r="A239" s="15"/>
      <c r="B239" s="16" t="s">
        <v>12</v>
      </c>
      <c r="C239" s="17"/>
      <c r="D239" s="17"/>
      <c r="E239" s="8"/>
      <c r="F239" s="17"/>
      <c r="G239" s="17"/>
      <c r="H239" s="8"/>
      <c r="I239" s="8"/>
      <c r="J239" s="8"/>
      <c r="K239" s="8"/>
    </row>
    <row r="240" spans="1:11" ht="15" customHeight="1">
      <c r="A240" s="18"/>
      <c r="B240" s="19" t="s">
        <v>13</v>
      </c>
      <c r="C240" s="20">
        <v>243600</v>
      </c>
      <c r="D240" s="20">
        <v>0</v>
      </c>
      <c r="E240" s="11">
        <f>SUM(C240:D240)</f>
        <v>243600</v>
      </c>
      <c r="F240" s="20">
        <f>F253+F249</f>
        <v>-90700</v>
      </c>
      <c r="G240" s="20">
        <v>0</v>
      </c>
      <c r="H240" s="11">
        <f>F240+G240</f>
        <v>-90700</v>
      </c>
      <c r="I240" s="11">
        <f>C240+F240</f>
        <v>152900</v>
      </c>
      <c r="J240" s="11">
        <f>D240+G240</f>
        <v>0</v>
      </c>
      <c r="K240" s="11">
        <f>E240+H240</f>
        <v>152900</v>
      </c>
    </row>
    <row r="241" spans="1:11" ht="15" customHeight="1">
      <c r="A241" s="15"/>
      <c r="B241" s="16"/>
      <c r="C241" s="17"/>
      <c r="D241" s="17"/>
      <c r="E241" s="8"/>
      <c r="F241" s="17"/>
      <c r="G241" s="17"/>
      <c r="H241" s="8"/>
      <c r="I241" s="8"/>
      <c r="J241" s="8"/>
      <c r="K241" s="8"/>
    </row>
    <row r="242" spans="1:11" s="28" customFormat="1" ht="15" customHeight="1">
      <c r="A242" s="27">
        <v>92604</v>
      </c>
      <c r="B242" s="28" t="s">
        <v>133</v>
      </c>
      <c r="C242" s="22">
        <v>3243976</v>
      </c>
      <c r="D242" s="22">
        <v>0</v>
      </c>
      <c r="E242" s="23">
        <f aca="true" t="shared" si="65" ref="E242:E247">SUM(C242:D242)</f>
        <v>3243976</v>
      </c>
      <c r="F242" s="29">
        <f>SUM(F243:F249)</f>
        <v>0</v>
      </c>
      <c r="G242" s="29">
        <v>0</v>
      </c>
      <c r="H242" s="23">
        <f aca="true" t="shared" si="66" ref="H242:H247">F242+G242</f>
        <v>0</v>
      </c>
      <c r="I242" s="23">
        <f aca="true" t="shared" si="67" ref="I242:K249">C242+F242</f>
        <v>3243976</v>
      </c>
      <c r="J242" s="23">
        <f t="shared" si="67"/>
        <v>0</v>
      </c>
      <c r="K242" s="23">
        <f t="shared" si="67"/>
        <v>3243976</v>
      </c>
    </row>
    <row r="243" spans="1:11" s="38" customFormat="1" ht="15" customHeight="1">
      <c r="A243" s="33" t="s">
        <v>38</v>
      </c>
      <c r="B243" s="34" t="s">
        <v>39</v>
      </c>
      <c r="C243" s="37">
        <v>255237</v>
      </c>
      <c r="D243" s="37">
        <v>0</v>
      </c>
      <c r="E243" s="36">
        <f t="shared" si="65"/>
        <v>255237</v>
      </c>
      <c r="F243" s="37">
        <v>7535</v>
      </c>
      <c r="G243" s="37">
        <v>0</v>
      </c>
      <c r="H243" s="36">
        <f t="shared" si="66"/>
        <v>7535</v>
      </c>
      <c r="I243" s="36">
        <f t="shared" si="67"/>
        <v>262772</v>
      </c>
      <c r="J243" s="36">
        <f t="shared" si="67"/>
        <v>0</v>
      </c>
      <c r="K243" s="36">
        <f>E243+H243</f>
        <v>262772</v>
      </c>
    </row>
    <row r="244" spans="1:11" s="34" customFormat="1" ht="15" customHeight="1">
      <c r="A244" s="33" t="s">
        <v>42</v>
      </c>
      <c r="B244" s="34" t="s">
        <v>39</v>
      </c>
      <c r="C244" s="35">
        <v>36000</v>
      </c>
      <c r="D244" s="35">
        <v>0</v>
      </c>
      <c r="E244" s="36">
        <f t="shared" si="65"/>
        <v>36000</v>
      </c>
      <c r="F244" s="37">
        <v>4000</v>
      </c>
      <c r="G244" s="37">
        <v>0</v>
      </c>
      <c r="H244" s="36">
        <f t="shared" si="66"/>
        <v>4000</v>
      </c>
      <c r="I244" s="36">
        <f t="shared" si="67"/>
        <v>40000</v>
      </c>
      <c r="J244" s="36">
        <f t="shared" si="67"/>
        <v>0</v>
      </c>
      <c r="K244" s="36">
        <f>E244+H244</f>
        <v>40000</v>
      </c>
    </row>
    <row r="245" spans="1:11" s="38" customFormat="1" ht="15" customHeight="1">
      <c r="A245" s="33" t="s">
        <v>40</v>
      </c>
      <c r="B245" s="34" t="s">
        <v>41</v>
      </c>
      <c r="C245" s="37">
        <v>204131</v>
      </c>
      <c r="D245" s="37">
        <v>0</v>
      </c>
      <c r="E245" s="36">
        <f t="shared" si="65"/>
        <v>204131</v>
      </c>
      <c r="F245" s="37">
        <v>-7040</v>
      </c>
      <c r="G245" s="37">
        <v>0</v>
      </c>
      <c r="H245" s="36">
        <f t="shared" si="66"/>
        <v>-7040</v>
      </c>
      <c r="I245" s="36">
        <f t="shared" si="67"/>
        <v>197091</v>
      </c>
      <c r="J245" s="36">
        <f t="shared" si="67"/>
        <v>0</v>
      </c>
      <c r="K245" s="36">
        <f>E245+H245</f>
        <v>197091</v>
      </c>
    </row>
    <row r="246" spans="1:11" s="38" customFormat="1" ht="15" customHeight="1">
      <c r="A246" s="33" t="s">
        <v>21</v>
      </c>
      <c r="B246" s="34" t="s">
        <v>22</v>
      </c>
      <c r="C246" s="35">
        <v>522553</v>
      </c>
      <c r="D246" s="35">
        <v>0</v>
      </c>
      <c r="E246" s="36">
        <f t="shared" si="65"/>
        <v>522553</v>
      </c>
      <c r="F246" s="37">
        <v>-2380</v>
      </c>
      <c r="G246" s="37">
        <v>0</v>
      </c>
      <c r="H246" s="36">
        <f t="shared" si="66"/>
        <v>-2380</v>
      </c>
      <c r="I246" s="36">
        <f t="shared" si="67"/>
        <v>520173</v>
      </c>
      <c r="J246" s="36">
        <f t="shared" si="67"/>
        <v>0</v>
      </c>
      <c r="K246" s="36">
        <f t="shared" si="67"/>
        <v>520173</v>
      </c>
    </row>
    <row r="247" spans="1:11" s="38" customFormat="1" ht="15" customHeight="1">
      <c r="A247" s="40" t="s">
        <v>23</v>
      </c>
      <c r="B247" s="38" t="s">
        <v>135</v>
      </c>
      <c r="C247" s="35">
        <v>20942</v>
      </c>
      <c r="D247" s="35">
        <v>0</v>
      </c>
      <c r="E247" s="36">
        <f t="shared" si="65"/>
        <v>20942</v>
      </c>
      <c r="F247" s="37">
        <v>-1420</v>
      </c>
      <c r="G247" s="37">
        <v>0</v>
      </c>
      <c r="H247" s="36">
        <f t="shared" si="66"/>
        <v>-1420</v>
      </c>
      <c r="I247" s="36">
        <f t="shared" si="67"/>
        <v>19522</v>
      </c>
      <c r="J247" s="36">
        <f t="shared" si="67"/>
        <v>0</v>
      </c>
      <c r="K247" s="36">
        <f t="shared" si="67"/>
        <v>19522</v>
      </c>
    </row>
    <row r="248" spans="1:11" s="38" customFormat="1" ht="15" customHeight="1">
      <c r="A248" s="40" t="s">
        <v>136</v>
      </c>
      <c r="B248" s="38" t="s">
        <v>137</v>
      </c>
      <c r="C248" s="35">
        <v>70650</v>
      </c>
      <c r="D248" s="35">
        <v>0</v>
      </c>
      <c r="E248" s="36">
        <f aca="true" t="shared" si="68" ref="E248:E253">SUM(C248:D248)</f>
        <v>70650</v>
      </c>
      <c r="F248" s="37">
        <v>5</v>
      </c>
      <c r="G248" s="37">
        <v>0</v>
      </c>
      <c r="H248" s="36">
        <f aca="true" t="shared" si="69" ref="H248:H253">F248+G248</f>
        <v>5</v>
      </c>
      <c r="I248" s="36">
        <f t="shared" si="67"/>
        <v>70655</v>
      </c>
      <c r="J248" s="36">
        <f t="shared" si="67"/>
        <v>0</v>
      </c>
      <c r="K248" s="36">
        <f t="shared" si="67"/>
        <v>70655</v>
      </c>
    </row>
    <row r="249" spans="1:11" s="42" customFormat="1" ht="15" customHeight="1">
      <c r="A249" s="41" t="s">
        <v>116</v>
      </c>
      <c r="B249" s="42" t="s">
        <v>117</v>
      </c>
      <c r="C249" s="43">
        <v>118600</v>
      </c>
      <c r="D249" s="43">
        <v>0</v>
      </c>
      <c r="E249" s="44">
        <f t="shared" si="68"/>
        <v>118600</v>
      </c>
      <c r="F249" s="45">
        <v>-700</v>
      </c>
      <c r="G249" s="45">
        <v>0</v>
      </c>
      <c r="H249" s="44">
        <f t="shared" si="69"/>
        <v>-700</v>
      </c>
      <c r="I249" s="44">
        <f t="shared" si="67"/>
        <v>117900</v>
      </c>
      <c r="J249" s="44">
        <f t="shared" si="67"/>
        <v>0</v>
      </c>
      <c r="K249" s="44">
        <f t="shared" si="67"/>
        <v>117900</v>
      </c>
    </row>
    <row r="250" spans="1:11" ht="15" customHeight="1">
      <c r="A250" s="27">
        <v>92605</v>
      </c>
      <c r="B250" s="28" t="s">
        <v>90</v>
      </c>
      <c r="C250" s="29">
        <v>1106000</v>
      </c>
      <c r="D250" s="29">
        <v>0</v>
      </c>
      <c r="E250" s="23">
        <f t="shared" si="68"/>
        <v>1106000</v>
      </c>
      <c r="F250" s="29">
        <f>SUM(F251:F251)</f>
        <v>-4000</v>
      </c>
      <c r="G250" s="29">
        <f>SUM(G251:G251)</f>
        <v>0</v>
      </c>
      <c r="H250" s="23">
        <f t="shared" si="69"/>
        <v>-4000</v>
      </c>
      <c r="I250" s="23">
        <f aca="true" t="shared" si="70" ref="I250:K253">C250+F250</f>
        <v>1102000</v>
      </c>
      <c r="J250" s="23">
        <f t="shared" si="70"/>
        <v>0</v>
      </c>
      <c r="K250" s="23">
        <f>SUM(E250+H250)</f>
        <v>1102000</v>
      </c>
    </row>
    <row r="251" spans="1:11" s="9" customFormat="1" ht="15" customHeight="1">
      <c r="A251" s="24" t="s">
        <v>38</v>
      </c>
      <c r="B251" s="9" t="s">
        <v>54</v>
      </c>
      <c r="C251" s="25">
        <v>21450</v>
      </c>
      <c r="D251" s="25">
        <v>0</v>
      </c>
      <c r="E251" s="26">
        <f t="shared" si="68"/>
        <v>21450</v>
      </c>
      <c r="F251" s="25">
        <f>-4000</f>
        <v>-4000</v>
      </c>
      <c r="G251" s="25">
        <v>0</v>
      </c>
      <c r="H251" s="26">
        <f t="shared" si="69"/>
        <v>-4000</v>
      </c>
      <c r="I251" s="26">
        <f t="shared" si="70"/>
        <v>17450</v>
      </c>
      <c r="J251" s="26">
        <f t="shared" si="70"/>
        <v>0</v>
      </c>
      <c r="K251" s="26">
        <f>E251+H251</f>
        <v>17450</v>
      </c>
    </row>
    <row r="252" spans="1:11" s="28" customFormat="1" ht="15" customHeight="1">
      <c r="A252" s="27">
        <v>92695</v>
      </c>
      <c r="B252" s="28" t="s">
        <v>110</v>
      </c>
      <c r="C252" s="22">
        <v>258548</v>
      </c>
      <c r="D252" s="22">
        <v>0</v>
      </c>
      <c r="E252" s="23">
        <f t="shared" si="68"/>
        <v>258548</v>
      </c>
      <c r="F252" s="29">
        <f>SUM(F253:F253)</f>
        <v>-90000</v>
      </c>
      <c r="G252" s="29">
        <f>SUM(G253:G253)</f>
        <v>0</v>
      </c>
      <c r="H252" s="23">
        <f t="shared" si="69"/>
        <v>-90000</v>
      </c>
      <c r="I252" s="23">
        <f t="shared" si="70"/>
        <v>168548</v>
      </c>
      <c r="J252" s="23">
        <f t="shared" si="70"/>
        <v>0</v>
      </c>
      <c r="K252" s="23">
        <f t="shared" si="70"/>
        <v>168548</v>
      </c>
    </row>
    <row r="253" spans="1:11" s="53" customFormat="1" ht="15" customHeight="1">
      <c r="A253" s="51" t="s">
        <v>112</v>
      </c>
      <c r="B253" s="52" t="s">
        <v>113</v>
      </c>
      <c r="C253" s="45">
        <v>100000</v>
      </c>
      <c r="D253" s="45">
        <v>0</v>
      </c>
      <c r="E253" s="44">
        <f t="shared" si="68"/>
        <v>100000</v>
      </c>
      <c r="F253" s="45">
        <v>-90000</v>
      </c>
      <c r="G253" s="45">
        <v>0</v>
      </c>
      <c r="H253" s="44">
        <f t="shared" si="69"/>
        <v>-90000</v>
      </c>
      <c r="I253" s="44">
        <f t="shared" si="70"/>
        <v>10000</v>
      </c>
      <c r="J253" s="44">
        <f t="shared" si="70"/>
        <v>0</v>
      </c>
      <c r="K253" s="44">
        <f t="shared" si="70"/>
        <v>10000</v>
      </c>
    </row>
    <row r="254" spans="1:11" s="74" customFormat="1" ht="24" customHeight="1">
      <c r="A254" s="149" t="s">
        <v>69</v>
      </c>
      <c r="B254" s="150"/>
      <c r="C254" s="150"/>
      <c r="D254" s="150"/>
      <c r="E254" s="150"/>
      <c r="F254" s="150"/>
      <c r="G254" s="150"/>
      <c r="H254" s="150"/>
      <c r="I254" s="150"/>
      <c r="J254" s="150"/>
      <c r="K254" s="151"/>
    </row>
    <row r="255" spans="1:11" s="72" customFormat="1" ht="15" customHeight="1">
      <c r="A255" s="2" t="s">
        <v>70</v>
      </c>
      <c r="B255" s="13" t="s">
        <v>16</v>
      </c>
      <c r="C255" s="14">
        <v>55812602</v>
      </c>
      <c r="D255" s="14">
        <v>9287292</v>
      </c>
      <c r="E255" s="5">
        <f>SUM(C255:D255)</f>
        <v>65099894</v>
      </c>
      <c r="F255" s="14">
        <f>F258+F268+F279+F308+F374+F408+F420</f>
        <v>-403522</v>
      </c>
      <c r="G255" s="14">
        <f>G258+G268+G279+G308+G374+G408+G420</f>
        <v>3942</v>
      </c>
      <c r="H255" s="5">
        <f>F255+G255</f>
        <v>-399580</v>
      </c>
      <c r="I255" s="5">
        <f>C255+F255</f>
        <v>55409080</v>
      </c>
      <c r="J255" s="5">
        <f>D255+G255</f>
        <v>9291234</v>
      </c>
      <c r="K255" s="5">
        <f>E255+H255</f>
        <v>64700314</v>
      </c>
    </row>
    <row r="256" spans="1:11" s="60" customFormat="1" ht="13.5" customHeight="1">
      <c r="A256" s="15"/>
      <c r="B256" s="16" t="s">
        <v>17</v>
      </c>
      <c r="C256" s="17"/>
      <c r="D256" s="17"/>
      <c r="E256" s="17"/>
      <c r="F256" s="17"/>
      <c r="G256" s="17"/>
      <c r="H256" s="8"/>
      <c r="I256" s="8"/>
      <c r="J256" s="8"/>
      <c r="K256" s="8"/>
    </row>
    <row r="257" spans="1:11" s="73" customFormat="1" ht="15" customHeight="1">
      <c r="A257" s="18"/>
      <c r="B257" s="19" t="s">
        <v>13</v>
      </c>
      <c r="C257" s="20">
        <v>4641930</v>
      </c>
      <c r="D257" s="20">
        <v>295136</v>
      </c>
      <c r="E257" s="11">
        <f>SUM(C257:D257)</f>
        <v>4937066</v>
      </c>
      <c r="F257" s="20">
        <f>F260+F270+F281+F310+F376+F410+F422+F454</f>
        <v>-193588</v>
      </c>
      <c r="G257" s="20">
        <f>G260+G270+G281+G310+G376+G410+G422+G454</f>
        <v>-8000</v>
      </c>
      <c r="H257" s="11">
        <f>F257+G257</f>
        <v>-201588</v>
      </c>
      <c r="I257" s="11">
        <f aca="true" t="shared" si="71" ref="I257:K258">C257+F257</f>
        <v>4448342</v>
      </c>
      <c r="J257" s="11">
        <f t="shared" si="71"/>
        <v>287136</v>
      </c>
      <c r="K257" s="11">
        <f t="shared" si="71"/>
        <v>4735478</v>
      </c>
    </row>
    <row r="258" spans="1:11" s="6" customFormat="1" ht="15" customHeight="1">
      <c r="A258" s="2" t="s">
        <v>123</v>
      </c>
      <c r="B258" s="13" t="s">
        <v>124</v>
      </c>
      <c r="C258" s="14">
        <v>8704351</v>
      </c>
      <c r="D258" s="14">
        <v>0</v>
      </c>
      <c r="E258" s="5">
        <f>SUM(C258:D258)</f>
        <v>8704351</v>
      </c>
      <c r="F258" s="14">
        <f>F261</f>
        <v>-404156</v>
      </c>
      <c r="G258" s="14">
        <f>G261</f>
        <v>0</v>
      </c>
      <c r="H258" s="5">
        <f>F258+G258</f>
        <v>-404156</v>
      </c>
      <c r="I258" s="5">
        <f t="shared" si="71"/>
        <v>8300195</v>
      </c>
      <c r="J258" s="5">
        <f t="shared" si="71"/>
        <v>0</v>
      </c>
      <c r="K258" s="5">
        <f t="shared" si="71"/>
        <v>8300195</v>
      </c>
    </row>
    <row r="259" spans="1:11" s="9" customFormat="1" ht="13.5" customHeight="1">
      <c r="A259" s="15"/>
      <c r="B259" s="16" t="s">
        <v>12</v>
      </c>
      <c r="C259" s="17"/>
      <c r="D259" s="17"/>
      <c r="E259" s="8"/>
      <c r="F259" s="17"/>
      <c r="G259" s="17"/>
      <c r="H259" s="8"/>
      <c r="I259" s="8"/>
      <c r="J259" s="8"/>
      <c r="K259" s="8"/>
    </row>
    <row r="260" spans="1:11" s="12" customFormat="1" ht="15" customHeight="1">
      <c r="A260" s="18"/>
      <c r="B260" s="19" t="s">
        <v>13</v>
      </c>
      <c r="C260" s="20">
        <v>3463398</v>
      </c>
      <c r="D260" s="20">
        <v>0</v>
      </c>
      <c r="E260" s="11">
        <f aca="true" t="shared" si="72" ref="E260:E267">SUM(C260:D260)</f>
        <v>3463398</v>
      </c>
      <c r="F260" s="20">
        <f>SUM(F264:F267)</f>
        <v>-102497</v>
      </c>
      <c r="G260" s="20">
        <f>SUM(G264:G267)</f>
        <v>0</v>
      </c>
      <c r="H260" s="11">
        <f aca="true" t="shared" si="73" ref="H260:H267">F260+G260</f>
        <v>-102497</v>
      </c>
      <c r="I260" s="11">
        <f aca="true" t="shared" si="74" ref="I260:K267">C260+F260</f>
        <v>3360901</v>
      </c>
      <c r="J260" s="11">
        <f t="shared" si="74"/>
        <v>0</v>
      </c>
      <c r="K260" s="11">
        <f t="shared" si="74"/>
        <v>3360901</v>
      </c>
    </row>
    <row r="261" spans="1:11" s="28" customFormat="1" ht="15" customHeight="1">
      <c r="A261" s="27">
        <v>60015</v>
      </c>
      <c r="B261" s="28" t="s">
        <v>125</v>
      </c>
      <c r="C261" s="22">
        <v>8703351</v>
      </c>
      <c r="D261" s="22">
        <v>0</v>
      </c>
      <c r="E261" s="23">
        <f t="shared" si="72"/>
        <v>8703351</v>
      </c>
      <c r="F261" s="29">
        <f>SUM(F262:F267)</f>
        <v>-404156</v>
      </c>
      <c r="G261" s="29">
        <f>SUM(G262:G267)</f>
        <v>0</v>
      </c>
      <c r="H261" s="23">
        <f t="shared" si="73"/>
        <v>-404156</v>
      </c>
      <c r="I261" s="23">
        <f t="shared" si="74"/>
        <v>8299195</v>
      </c>
      <c r="J261" s="23">
        <f t="shared" si="74"/>
        <v>0</v>
      </c>
      <c r="K261" s="23">
        <f t="shared" si="74"/>
        <v>8299195</v>
      </c>
    </row>
    <row r="262" spans="1:11" s="39" customFormat="1" ht="15" customHeight="1">
      <c r="A262" s="33" t="s">
        <v>18</v>
      </c>
      <c r="B262" s="34" t="s">
        <v>19</v>
      </c>
      <c r="C262" s="35">
        <v>3069043</v>
      </c>
      <c r="D262" s="35">
        <v>0</v>
      </c>
      <c r="E262" s="36">
        <f>SUM(C262:D262)</f>
        <v>3069043</v>
      </c>
      <c r="F262" s="37">
        <v>-300000</v>
      </c>
      <c r="G262" s="37">
        <v>0</v>
      </c>
      <c r="H262" s="36">
        <f t="shared" si="73"/>
        <v>-300000</v>
      </c>
      <c r="I262" s="36">
        <f t="shared" si="74"/>
        <v>2769043</v>
      </c>
      <c r="J262" s="36">
        <f t="shared" si="74"/>
        <v>0</v>
      </c>
      <c r="K262" s="36">
        <f>E262+H262</f>
        <v>2769043</v>
      </c>
    </row>
    <row r="263" spans="1:11" s="38" customFormat="1" ht="15" customHeight="1">
      <c r="A263" s="33" t="s">
        <v>27</v>
      </c>
      <c r="B263" s="34" t="s">
        <v>28</v>
      </c>
      <c r="C263" s="37">
        <v>1252654</v>
      </c>
      <c r="D263" s="37">
        <v>0</v>
      </c>
      <c r="E263" s="36">
        <f>SUM(C263:D263)</f>
        <v>1252654</v>
      </c>
      <c r="F263" s="37">
        <v>-1659</v>
      </c>
      <c r="G263" s="37">
        <v>0</v>
      </c>
      <c r="H263" s="36">
        <f t="shared" si="73"/>
        <v>-1659</v>
      </c>
      <c r="I263" s="36">
        <f t="shared" si="74"/>
        <v>1250995</v>
      </c>
      <c r="J263" s="36">
        <f t="shared" si="74"/>
        <v>0</v>
      </c>
      <c r="K263" s="36">
        <f>E263+H263</f>
        <v>1250995</v>
      </c>
    </row>
    <row r="264" spans="1:11" s="39" customFormat="1" ht="15" customHeight="1">
      <c r="A264" s="33" t="s">
        <v>112</v>
      </c>
      <c r="B264" s="34" t="s">
        <v>113</v>
      </c>
      <c r="C264" s="35">
        <v>2040000</v>
      </c>
      <c r="D264" s="35">
        <v>0</v>
      </c>
      <c r="E264" s="36">
        <f t="shared" si="72"/>
        <v>2040000</v>
      </c>
      <c r="F264" s="37">
        <v>-100000</v>
      </c>
      <c r="G264" s="37">
        <v>0</v>
      </c>
      <c r="H264" s="36">
        <f t="shared" si="73"/>
        <v>-100000</v>
      </c>
      <c r="I264" s="36">
        <f t="shared" si="74"/>
        <v>1940000</v>
      </c>
      <c r="J264" s="36">
        <f t="shared" si="74"/>
        <v>0</v>
      </c>
      <c r="K264" s="36">
        <f t="shared" si="74"/>
        <v>1940000</v>
      </c>
    </row>
    <row r="265" spans="1:11" s="82" customFormat="1" ht="15" customHeight="1">
      <c r="A265" s="86" t="s">
        <v>192</v>
      </c>
      <c r="B265" s="87" t="s">
        <v>193</v>
      </c>
      <c r="C265" s="85">
        <v>0</v>
      </c>
      <c r="D265" s="85">
        <v>0</v>
      </c>
      <c r="E265" s="36">
        <f t="shared" si="72"/>
        <v>0</v>
      </c>
      <c r="F265" s="88">
        <v>771398</v>
      </c>
      <c r="G265" s="88">
        <v>0</v>
      </c>
      <c r="H265" s="36">
        <f t="shared" si="73"/>
        <v>771398</v>
      </c>
      <c r="I265" s="36">
        <f t="shared" si="74"/>
        <v>771398</v>
      </c>
      <c r="J265" s="36">
        <f t="shared" si="74"/>
        <v>0</v>
      </c>
      <c r="K265" s="36">
        <f t="shared" si="74"/>
        <v>771398</v>
      </c>
    </row>
    <row r="266" spans="1:11" s="82" customFormat="1" ht="15" customHeight="1">
      <c r="A266" s="86" t="s">
        <v>194</v>
      </c>
      <c r="B266" s="84" t="s">
        <v>195</v>
      </c>
      <c r="C266" s="85">
        <v>1321398</v>
      </c>
      <c r="D266" s="85">
        <v>0</v>
      </c>
      <c r="E266" s="36">
        <f t="shared" si="72"/>
        <v>1321398</v>
      </c>
      <c r="F266" s="88">
        <v>-771398</v>
      </c>
      <c r="G266" s="88">
        <v>0</v>
      </c>
      <c r="H266" s="36">
        <f t="shared" si="73"/>
        <v>-771398</v>
      </c>
      <c r="I266" s="36">
        <f t="shared" si="74"/>
        <v>550000</v>
      </c>
      <c r="J266" s="36">
        <f t="shared" si="74"/>
        <v>0</v>
      </c>
      <c r="K266" s="36">
        <f t="shared" si="74"/>
        <v>550000</v>
      </c>
    </row>
    <row r="267" spans="1:11" s="39" customFormat="1" ht="15" customHeight="1">
      <c r="A267" s="33" t="s">
        <v>116</v>
      </c>
      <c r="B267" s="34" t="s">
        <v>117</v>
      </c>
      <c r="C267" s="35">
        <v>102000</v>
      </c>
      <c r="D267" s="35">
        <v>0</v>
      </c>
      <c r="E267" s="36">
        <f t="shared" si="72"/>
        <v>102000</v>
      </c>
      <c r="F267" s="37">
        <f>-2497</f>
        <v>-2497</v>
      </c>
      <c r="G267" s="37">
        <v>0</v>
      </c>
      <c r="H267" s="36">
        <f t="shared" si="73"/>
        <v>-2497</v>
      </c>
      <c r="I267" s="36">
        <f t="shared" si="74"/>
        <v>99503</v>
      </c>
      <c r="J267" s="36">
        <f t="shared" si="74"/>
        <v>0</v>
      </c>
      <c r="K267" s="36">
        <f t="shared" si="74"/>
        <v>99503</v>
      </c>
    </row>
    <row r="268" spans="1:11" s="6" customFormat="1" ht="15" customHeight="1">
      <c r="A268" s="2" t="s">
        <v>99</v>
      </c>
      <c r="B268" s="13" t="s">
        <v>100</v>
      </c>
      <c r="C268" s="14">
        <v>9000</v>
      </c>
      <c r="D268" s="14">
        <v>285545</v>
      </c>
      <c r="E268" s="5">
        <f>SUM(C268:D268)</f>
        <v>294545</v>
      </c>
      <c r="F268" s="14">
        <v>0</v>
      </c>
      <c r="G268" s="14">
        <f>G271</f>
        <v>0</v>
      </c>
      <c r="H268" s="5">
        <f>F268+G268</f>
        <v>0</v>
      </c>
      <c r="I268" s="5">
        <f>C268+F268</f>
        <v>9000</v>
      </c>
      <c r="J268" s="5">
        <f>D268+G268</f>
        <v>285545</v>
      </c>
      <c r="K268" s="5">
        <f>E268+H268</f>
        <v>294545</v>
      </c>
    </row>
    <row r="269" spans="1:11" s="9" customFormat="1" ht="13.5" customHeight="1">
      <c r="A269" s="15"/>
      <c r="B269" s="16" t="s">
        <v>12</v>
      </c>
      <c r="C269" s="17"/>
      <c r="D269" s="17"/>
      <c r="E269" s="8"/>
      <c r="F269" s="17"/>
      <c r="G269" s="17"/>
      <c r="H269" s="8"/>
      <c r="I269" s="8"/>
      <c r="J269" s="8"/>
      <c r="K269" s="8"/>
    </row>
    <row r="270" spans="1:11" s="12" customFormat="1" ht="15" customHeight="1">
      <c r="A270" s="18"/>
      <c r="B270" s="19" t="s">
        <v>13</v>
      </c>
      <c r="C270" s="20">
        <v>0</v>
      </c>
      <c r="D270" s="20">
        <v>27000</v>
      </c>
      <c r="E270" s="11">
        <f aca="true" t="shared" si="75" ref="E270:E279">SUM(C270:D270)</f>
        <v>27000</v>
      </c>
      <c r="F270" s="20">
        <v>0</v>
      </c>
      <c r="G270" s="20">
        <v>0</v>
      </c>
      <c r="H270" s="11">
        <f aca="true" t="shared" si="76" ref="H270:H279">F270+G270</f>
        <v>0</v>
      </c>
      <c r="I270" s="11">
        <f aca="true" t="shared" si="77" ref="I270:K272">C270+F270</f>
        <v>0</v>
      </c>
      <c r="J270" s="11">
        <f t="shared" si="77"/>
        <v>27000</v>
      </c>
      <c r="K270" s="11">
        <f t="shared" si="77"/>
        <v>27000</v>
      </c>
    </row>
    <row r="271" spans="1:11" s="28" customFormat="1" ht="15" customHeight="1">
      <c r="A271" s="27">
        <v>71015</v>
      </c>
      <c r="B271" s="28" t="s">
        <v>101</v>
      </c>
      <c r="C271" s="22">
        <v>0</v>
      </c>
      <c r="D271" s="22">
        <v>234545</v>
      </c>
      <c r="E271" s="23">
        <f t="shared" si="75"/>
        <v>234545</v>
      </c>
      <c r="F271" s="29">
        <v>0</v>
      </c>
      <c r="G271" s="29">
        <f>SUM(G272:G278)</f>
        <v>0</v>
      </c>
      <c r="H271" s="23">
        <f t="shared" si="76"/>
        <v>0</v>
      </c>
      <c r="I271" s="23">
        <f t="shared" si="77"/>
        <v>0</v>
      </c>
      <c r="J271" s="23">
        <f t="shared" si="77"/>
        <v>234545</v>
      </c>
      <c r="K271" s="23">
        <f t="shared" si="77"/>
        <v>234545</v>
      </c>
    </row>
    <row r="272" spans="1:11" s="31" customFormat="1" ht="15" customHeight="1">
      <c r="A272" s="30" t="s">
        <v>36</v>
      </c>
      <c r="B272" s="31" t="s">
        <v>37</v>
      </c>
      <c r="C272" s="25">
        <v>0</v>
      </c>
      <c r="D272" s="25">
        <v>59282</v>
      </c>
      <c r="E272" s="26">
        <f t="shared" si="75"/>
        <v>59282</v>
      </c>
      <c r="F272" s="32">
        <v>0</v>
      </c>
      <c r="G272" s="32">
        <v>1849</v>
      </c>
      <c r="H272" s="26">
        <f t="shared" si="76"/>
        <v>1849</v>
      </c>
      <c r="I272" s="26">
        <f t="shared" si="77"/>
        <v>0</v>
      </c>
      <c r="J272" s="26">
        <f t="shared" si="77"/>
        <v>61131</v>
      </c>
      <c r="K272" s="26">
        <f t="shared" si="77"/>
        <v>61131</v>
      </c>
    </row>
    <row r="273" spans="1:11" s="31" customFormat="1" ht="15" customHeight="1">
      <c r="A273" s="30" t="s">
        <v>182</v>
      </c>
      <c r="B273" s="31" t="s">
        <v>196</v>
      </c>
      <c r="C273" s="25">
        <v>0</v>
      </c>
      <c r="D273" s="25">
        <v>73400</v>
      </c>
      <c r="E273" s="26">
        <f t="shared" si="75"/>
        <v>73400</v>
      </c>
      <c r="F273" s="32">
        <v>0</v>
      </c>
      <c r="G273" s="32">
        <v>-60</v>
      </c>
      <c r="H273" s="26">
        <f t="shared" si="76"/>
        <v>-60</v>
      </c>
      <c r="I273" s="26">
        <f aca="true" t="shared" si="78" ref="I273:I278">C273+F273</f>
        <v>0</v>
      </c>
      <c r="J273" s="26">
        <f aca="true" t="shared" si="79" ref="J273:J278">D273+G273</f>
        <v>73340</v>
      </c>
      <c r="K273" s="26">
        <f aca="true" t="shared" si="80" ref="K273:K279">E273+H273</f>
        <v>73340</v>
      </c>
    </row>
    <row r="274" spans="1:11" s="84" customFormat="1" ht="15" customHeight="1">
      <c r="A274" s="86" t="s">
        <v>38</v>
      </c>
      <c r="B274" s="87" t="s">
        <v>39</v>
      </c>
      <c r="C274" s="88">
        <v>0</v>
      </c>
      <c r="D274" s="88">
        <v>26150</v>
      </c>
      <c r="E274" s="36">
        <f t="shared" si="75"/>
        <v>26150</v>
      </c>
      <c r="F274" s="88">
        <v>0</v>
      </c>
      <c r="G274" s="88">
        <v>-698</v>
      </c>
      <c r="H274" s="36">
        <f t="shared" si="76"/>
        <v>-698</v>
      </c>
      <c r="I274" s="36">
        <f t="shared" si="78"/>
        <v>0</v>
      </c>
      <c r="J274" s="36">
        <f t="shared" si="79"/>
        <v>25452</v>
      </c>
      <c r="K274" s="36">
        <f t="shared" si="80"/>
        <v>25452</v>
      </c>
    </row>
    <row r="275" spans="1:11" s="90" customFormat="1" ht="15" customHeight="1">
      <c r="A275" s="89" t="s">
        <v>42</v>
      </c>
      <c r="B275" s="90" t="s">
        <v>43</v>
      </c>
      <c r="C275" s="91">
        <v>0</v>
      </c>
      <c r="D275" s="91">
        <v>3520</v>
      </c>
      <c r="E275" s="26">
        <f t="shared" si="75"/>
        <v>3520</v>
      </c>
      <c r="F275" s="91">
        <v>0</v>
      </c>
      <c r="G275" s="91">
        <v>-221</v>
      </c>
      <c r="H275" s="26">
        <f t="shared" si="76"/>
        <v>-221</v>
      </c>
      <c r="I275" s="26">
        <f t="shared" si="78"/>
        <v>0</v>
      </c>
      <c r="J275" s="26">
        <f t="shared" si="79"/>
        <v>3299</v>
      </c>
      <c r="K275" s="26">
        <f t="shared" si="80"/>
        <v>3299</v>
      </c>
    </row>
    <row r="276" spans="1:11" s="9" customFormat="1" ht="13.5" customHeight="1">
      <c r="A276" s="24" t="s">
        <v>27</v>
      </c>
      <c r="B276" s="9" t="s">
        <v>28</v>
      </c>
      <c r="C276" s="25">
        <v>0</v>
      </c>
      <c r="D276" s="25">
        <v>8000</v>
      </c>
      <c r="E276" s="26">
        <f t="shared" si="75"/>
        <v>8000</v>
      </c>
      <c r="F276" s="25">
        <v>0</v>
      </c>
      <c r="G276" s="25">
        <v>913</v>
      </c>
      <c r="H276" s="26">
        <f t="shared" si="76"/>
        <v>913</v>
      </c>
      <c r="I276" s="26">
        <f t="shared" si="78"/>
        <v>0</v>
      </c>
      <c r="J276" s="26">
        <f t="shared" si="79"/>
        <v>8913</v>
      </c>
      <c r="K276" s="26">
        <f t="shared" si="80"/>
        <v>8913</v>
      </c>
    </row>
    <row r="277" spans="1:11" s="60" customFormat="1" ht="15" customHeight="1">
      <c r="A277" s="30" t="s">
        <v>120</v>
      </c>
      <c r="B277" s="31" t="s">
        <v>121</v>
      </c>
      <c r="C277" s="32">
        <v>0</v>
      </c>
      <c r="D277" s="32">
        <v>2000</v>
      </c>
      <c r="E277" s="26">
        <f t="shared" si="75"/>
        <v>2000</v>
      </c>
      <c r="F277" s="32">
        <v>0</v>
      </c>
      <c r="G277" s="32">
        <v>-1764</v>
      </c>
      <c r="H277" s="26">
        <f t="shared" si="76"/>
        <v>-1764</v>
      </c>
      <c r="I277" s="26">
        <f t="shared" si="78"/>
        <v>0</v>
      </c>
      <c r="J277" s="26">
        <f t="shared" si="79"/>
        <v>236</v>
      </c>
      <c r="K277" s="26">
        <f t="shared" si="80"/>
        <v>236</v>
      </c>
    </row>
    <row r="278" spans="1:11" s="60" customFormat="1" ht="15" customHeight="1">
      <c r="A278" s="30" t="s">
        <v>23</v>
      </c>
      <c r="B278" s="31" t="s">
        <v>132</v>
      </c>
      <c r="C278" s="32">
        <v>0</v>
      </c>
      <c r="D278" s="32">
        <v>200</v>
      </c>
      <c r="E278" s="26">
        <f t="shared" si="75"/>
        <v>200</v>
      </c>
      <c r="F278" s="32">
        <v>0</v>
      </c>
      <c r="G278" s="32">
        <v>-19</v>
      </c>
      <c r="H278" s="26">
        <f t="shared" si="76"/>
        <v>-19</v>
      </c>
      <c r="I278" s="26">
        <f t="shared" si="78"/>
        <v>0</v>
      </c>
      <c r="J278" s="26">
        <f t="shared" si="79"/>
        <v>181</v>
      </c>
      <c r="K278" s="26">
        <f t="shared" si="80"/>
        <v>181</v>
      </c>
    </row>
    <row r="279" spans="1:11" s="6" customFormat="1" ht="15" customHeight="1">
      <c r="A279" s="2" t="s">
        <v>25</v>
      </c>
      <c r="B279" s="13" t="s">
        <v>26</v>
      </c>
      <c r="C279" s="14">
        <v>232400</v>
      </c>
      <c r="D279" s="14">
        <v>5145759</v>
      </c>
      <c r="E279" s="5">
        <f t="shared" si="75"/>
        <v>5378159</v>
      </c>
      <c r="F279" s="14">
        <v>0</v>
      </c>
      <c r="G279" s="14">
        <f>G282</f>
        <v>-8000</v>
      </c>
      <c r="H279" s="5">
        <f t="shared" si="76"/>
        <v>-8000</v>
      </c>
      <c r="I279" s="5">
        <f>C279+F279</f>
        <v>232400</v>
      </c>
      <c r="J279" s="5">
        <f>D279+G279</f>
        <v>5137759</v>
      </c>
      <c r="K279" s="5">
        <f t="shared" si="80"/>
        <v>5370159</v>
      </c>
    </row>
    <row r="280" spans="1:11" s="9" customFormat="1" ht="10.5" customHeight="1">
      <c r="A280" s="15"/>
      <c r="B280" s="16" t="s">
        <v>12</v>
      </c>
      <c r="C280" s="17"/>
      <c r="D280" s="17"/>
      <c r="E280" s="8"/>
      <c r="F280" s="17"/>
      <c r="G280" s="17"/>
      <c r="H280" s="8"/>
      <c r="I280" s="8"/>
      <c r="J280" s="8"/>
      <c r="K280" s="8"/>
    </row>
    <row r="281" spans="1:11" s="12" customFormat="1" ht="15" customHeight="1">
      <c r="A281" s="18"/>
      <c r="B281" s="19" t="s">
        <v>13</v>
      </c>
      <c r="C281" s="20">
        <v>25000</v>
      </c>
      <c r="D281" s="20">
        <v>179000</v>
      </c>
      <c r="E281" s="11">
        <f aca="true" t="shared" si="81" ref="E281:E301">SUM(C281:D281)</f>
        <v>204000</v>
      </c>
      <c r="F281" s="20">
        <f>F301</f>
        <v>2100</v>
      </c>
      <c r="G281" s="20">
        <f>G301</f>
        <v>-8000</v>
      </c>
      <c r="H281" s="11">
        <f>F281+G281</f>
        <v>-5900</v>
      </c>
      <c r="I281" s="11">
        <f aca="true" t="shared" si="82" ref="I281:I301">C281+F281</f>
        <v>27100</v>
      </c>
      <c r="J281" s="11">
        <f aca="true" t="shared" si="83" ref="J281:J301">D281+G281</f>
        <v>171000</v>
      </c>
      <c r="K281" s="11">
        <f aca="true" t="shared" si="84" ref="K281:K301">E281+H281</f>
        <v>198100</v>
      </c>
    </row>
    <row r="282" spans="1:11" s="93" customFormat="1" ht="15" customHeight="1">
      <c r="A282" s="92">
        <v>75411</v>
      </c>
      <c r="B282" s="93" t="s">
        <v>102</v>
      </c>
      <c r="C282" s="94">
        <v>100000</v>
      </c>
      <c r="D282" s="94">
        <v>5145759</v>
      </c>
      <c r="E282" s="23">
        <f t="shared" si="81"/>
        <v>5245759</v>
      </c>
      <c r="F282" s="95">
        <f>SUM(F283:F301)</f>
        <v>0</v>
      </c>
      <c r="G282" s="95">
        <f>SUM(G283:G301)</f>
        <v>-8000</v>
      </c>
      <c r="H282" s="23">
        <f>F282+G282</f>
        <v>-8000</v>
      </c>
      <c r="I282" s="23">
        <f t="shared" si="82"/>
        <v>100000</v>
      </c>
      <c r="J282" s="23">
        <f t="shared" si="83"/>
        <v>5137759</v>
      </c>
      <c r="K282" s="23">
        <f t="shared" si="84"/>
        <v>5237759</v>
      </c>
    </row>
    <row r="283" spans="1:11" s="87" customFormat="1" ht="15" customHeight="1">
      <c r="A283" s="86" t="s">
        <v>176</v>
      </c>
      <c r="B283" s="87" t="s">
        <v>197</v>
      </c>
      <c r="C283" s="85">
        <v>0</v>
      </c>
      <c r="D283" s="85">
        <v>374000</v>
      </c>
      <c r="E283" s="36">
        <f t="shared" si="81"/>
        <v>374000</v>
      </c>
      <c r="F283" s="88"/>
      <c r="G283" s="88">
        <v>-10385</v>
      </c>
      <c r="H283" s="36">
        <f>SUM(F283:G283)</f>
        <v>-10385</v>
      </c>
      <c r="I283" s="36">
        <f t="shared" si="82"/>
        <v>0</v>
      </c>
      <c r="J283" s="36">
        <f t="shared" si="83"/>
        <v>363615</v>
      </c>
      <c r="K283" s="36">
        <f t="shared" si="84"/>
        <v>363615</v>
      </c>
    </row>
    <row r="284" spans="1:11" s="124" customFormat="1" ht="15" customHeight="1">
      <c r="A284" s="123" t="s">
        <v>36</v>
      </c>
      <c r="B284" s="124" t="s">
        <v>167</v>
      </c>
      <c r="C284" s="91">
        <v>0</v>
      </c>
      <c r="D284" s="91">
        <v>9300</v>
      </c>
      <c r="E284" s="26">
        <f t="shared" si="81"/>
        <v>9300</v>
      </c>
      <c r="F284" s="125">
        <v>0</v>
      </c>
      <c r="G284" s="125">
        <v>4506</v>
      </c>
      <c r="H284" s="26">
        <f>F284+G284</f>
        <v>4506</v>
      </c>
      <c r="I284" s="26">
        <f t="shared" si="82"/>
        <v>0</v>
      </c>
      <c r="J284" s="26">
        <f t="shared" si="83"/>
        <v>13806</v>
      </c>
      <c r="K284" s="26">
        <f t="shared" si="84"/>
        <v>13806</v>
      </c>
    </row>
    <row r="285" spans="1:11" s="34" customFormat="1" ht="15" customHeight="1">
      <c r="A285" s="33" t="s">
        <v>20</v>
      </c>
      <c r="B285" s="34" t="s">
        <v>134</v>
      </c>
      <c r="C285" s="35">
        <v>0</v>
      </c>
      <c r="D285" s="35">
        <v>2000</v>
      </c>
      <c r="E285" s="36">
        <f t="shared" si="81"/>
        <v>2000</v>
      </c>
      <c r="F285" s="37">
        <v>0</v>
      </c>
      <c r="G285" s="37">
        <v>-48</v>
      </c>
      <c r="H285" s="36">
        <f>F285+G285</f>
        <v>-48</v>
      </c>
      <c r="I285" s="36">
        <f t="shared" si="82"/>
        <v>0</v>
      </c>
      <c r="J285" s="36">
        <f t="shared" si="83"/>
        <v>1952</v>
      </c>
      <c r="K285" s="36">
        <f t="shared" si="84"/>
        <v>1952</v>
      </c>
    </row>
    <row r="286" spans="1:11" s="87" customFormat="1" ht="15" customHeight="1">
      <c r="A286" s="86" t="s">
        <v>177</v>
      </c>
      <c r="B286" s="87" t="s">
        <v>198</v>
      </c>
      <c r="C286" s="85">
        <v>0</v>
      </c>
      <c r="D286" s="85">
        <v>3185000</v>
      </c>
      <c r="E286" s="36">
        <f t="shared" si="81"/>
        <v>3185000</v>
      </c>
      <c r="F286" s="88"/>
      <c r="G286" s="88">
        <v>991</v>
      </c>
      <c r="H286" s="36">
        <f>SUM(F286:G286)</f>
        <v>991</v>
      </c>
      <c r="I286" s="36">
        <f t="shared" si="82"/>
        <v>0</v>
      </c>
      <c r="J286" s="36">
        <f t="shared" si="83"/>
        <v>3185991</v>
      </c>
      <c r="K286" s="36">
        <f t="shared" si="84"/>
        <v>3185991</v>
      </c>
    </row>
    <row r="287" spans="1:11" s="87" customFormat="1" ht="15" customHeight="1">
      <c r="A287" s="86" t="s">
        <v>103</v>
      </c>
      <c r="B287" s="87" t="s">
        <v>104</v>
      </c>
      <c r="C287" s="85">
        <v>0</v>
      </c>
      <c r="D287" s="85">
        <v>185900</v>
      </c>
      <c r="E287" s="36">
        <f t="shared" si="81"/>
        <v>185900</v>
      </c>
      <c r="F287" s="88"/>
      <c r="G287" s="88">
        <v>2918</v>
      </c>
      <c r="H287" s="36">
        <f>SUM(F287:G287)</f>
        <v>2918</v>
      </c>
      <c r="I287" s="36">
        <f t="shared" si="82"/>
        <v>0</v>
      </c>
      <c r="J287" s="36">
        <f t="shared" si="83"/>
        <v>188818</v>
      </c>
      <c r="K287" s="36">
        <f t="shared" si="84"/>
        <v>188818</v>
      </c>
    </row>
    <row r="288" spans="1:11" s="87" customFormat="1" ht="15" customHeight="1">
      <c r="A288" s="86" t="s">
        <v>178</v>
      </c>
      <c r="B288" s="87" t="s">
        <v>199</v>
      </c>
      <c r="C288" s="85">
        <v>0</v>
      </c>
      <c r="D288" s="85">
        <v>268000</v>
      </c>
      <c r="E288" s="36">
        <f t="shared" si="81"/>
        <v>268000</v>
      </c>
      <c r="F288" s="88"/>
      <c r="G288" s="88">
        <v>-991</v>
      </c>
      <c r="H288" s="36">
        <f>SUM(F288:G288)</f>
        <v>-991</v>
      </c>
      <c r="I288" s="36">
        <f t="shared" si="82"/>
        <v>0</v>
      </c>
      <c r="J288" s="36">
        <f t="shared" si="83"/>
        <v>267009</v>
      </c>
      <c r="K288" s="36">
        <f t="shared" si="84"/>
        <v>267009</v>
      </c>
    </row>
    <row r="289" spans="1:11" s="124" customFormat="1" ht="15" customHeight="1">
      <c r="A289" s="123" t="s">
        <v>179</v>
      </c>
      <c r="B289" s="124" t="s">
        <v>200</v>
      </c>
      <c r="C289" s="91">
        <v>0</v>
      </c>
      <c r="D289" s="91">
        <v>20000</v>
      </c>
      <c r="E289" s="26">
        <f t="shared" si="81"/>
        <v>20000</v>
      </c>
      <c r="F289" s="125">
        <v>0</v>
      </c>
      <c r="G289" s="125">
        <v>-20000</v>
      </c>
      <c r="H289" s="26">
        <f>F289+G289</f>
        <v>-20000</v>
      </c>
      <c r="I289" s="26">
        <f t="shared" si="82"/>
        <v>0</v>
      </c>
      <c r="J289" s="26">
        <f t="shared" si="83"/>
        <v>0</v>
      </c>
      <c r="K289" s="26">
        <f t="shared" si="84"/>
        <v>0</v>
      </c>
    </row>
    <row r="290" spans="1:11" s="34" customFormat="1" ht="15" customHeight="1">
      <c r="A290" s="33" t="s">
        <v>38</v>
      </c>
      <c r="B290" s="34" t="s">
        <v>39</v>
      </c>
      <c r="C290" s="35">
        <v>0</v>
      </c>
      <c r="D290" s="35">
        <v>47000</v>
      </c>
      <c r="E290" s="36">
        <f t="shared" si="81"/>
        <v>47000</v>
      </c>
      <c r="F290" s="37">
        <v>0</v>
      </c>
      <c r="G290" s="37">
        <v>-156</v>
      </c>
      <c r="H290" s="36">
        <f>F290+G290</f>
        <v>-156</v>
      </c>
      <c r="I290" s="36">
        <f t="shared" si="82"/>
        <v>0</v>
      </c>
      <c r="J290" s="36">
        <f t="shared" si="83"/>
        <v>46844</v>
      </c>
      <c r="K290" s="36">
        <f t="shared" si="84"/>
        <v>46844</v>
      </c>
    </row>
    <row r="291" spans="1:11" s="87" customFormat="1" ht="15" customHeight="1">
      <c r="A291" s="86" t="s">
        <v>49</v>
      </c>
      <c r="B291" s="87" t="s">
        <v>43</v>
      </c>
      <c r="C291" s="85">
        <v>0</v>
      </c>
      <c r="D291" s="85">
        <v>10000</v>
      </c>
      <c r="E291" s="36">
        <f t="shared" si="81"/>
        <v>10000</v>
      </c>
      <c r="F291" s="88"/>
      <c r="G291" s="88">
        <v>-8060</v>
      </c>
      <c r="H291" s="36">
        <f>SUM(F291:G291)</f>
        <v>-8060</v>
      </c>
      <c r="I291" s="36">
        <f t="shared" si="82"/>
        <v>0</v>
      </c>
      <c r="J291" s="36">
        <f t="shared" si="83"/>
        <v>1940</v>
      </c>
      <c r="K291" s="36">
        <f t="shared" si="84"/>
        <v>1940</v>
      </c>
    </row>
    <row r="292" spans="1:11" s="87" customFormat="1" ht="15" customHeight="1">
      <c r="A292" s="86" t="s">
        <v>180</v>
      </c>
      <c r="B292" s="87" t="s">
        <v>201</v>
      </c>
      <c r="C292" s="85">
        <v>0</v>
      </c>
      <c r="D292" s="85">
        <v>230000</v>
      </c>
      <c r="E292" s="36">
        <f t="shared" si="81"/>
        <v>230000</v>
      </c>
      <c r="F292" s="88"/>
      <c r="G292" s="88">
        <v>-5830</v>
      </c>
      <c r="H292" s="36">
        <f>SUM(F292:G292)</f>
        <v>-5830</v>
      </c>
      <c r="I292" s="36">
        <f t="shared" si="82"/>
        <v>0</v>
      </c>
      <c r="J292" s="36">
        <f t="shared" si="83"/>
        <v>224170</v>
      </c>
      <c r="K292" s="36">
        <f t="shared" si="84"/>
        <v>224170</v>
      </c>
    </row>
    <row r="293" spans="1:11" s="124" customFormat="1" ht="15" customHeight="1">
      <c r="A293" s="123" t="s">
        <v>40</v>
      </c>
      <c r="B293" s="124" t="s">
        <v>41</v>
      </c>
      <c r="C293" s="91">
        <v>90627</v>
      </c>
      <c r="D293" s="91">
        <v>283359</v>
      </c>
      <c r="E293" s="26">
        <f t="shared" si="81"/>
        <v>373986</v>
      </c>
      <c r="F293" s="125">
        <v>-2100</v>
      </c>
      <c r="G293" s="125">
        <v>65537</v>
      </c>
      <c r="H293" s="26">
        <f aca="true" t="shared" si="85" ref="H293:H300">F293+G293</f>
        <v>63437</v>
      </c>
      <c r="I293" s="26">
        <f t="shared" si="82"/>
        <v>88527</v>
      </c>
      <c r="J293" s="26">
        <f t="shared" si="83"/>
        <v>348896</v>
      </c>
      <c r="K293" s="26">
        <f t="shared" si="84"/>
        <v>437423</v>
      </c>
    </row>
    <row r="294" spans="1:11" s="50" customFormat="1" ht="13.5" customHeight="1">
      <c r="A294" s="33" t="s">
        <v>55</v>
      </c>
      <c r="B294" s="34" t="s">
        <v>56</v>
      </c>
      <c r="C294" s="35">
        <v>6022</v>
      </c>
      <c r="D294" s="35">
        <v>5000</v>
      </c>
      <c r="E294" s="36">
        <f t="shared" si="81"/>
        <v>11022</v>
      </c>
      <c r="F294" s="37">
        <v>0</v>
      </c>
      <c r="G294" s="37">
        <v>-764</v>
      </c>
      <c r="H294" s="36">
        <f t="shared" si="85"/>
        <v>-764</v>
      </c>
      <c r="I294" s="36">
        <f t="shared" si="82"/>
        <v>6022</v>
      </c>
      <c r="J294" s="36">
        <f t="shared" si="83"/>
        <v>4236</v>
      </c>
      <c r="K294" s="36">
        <f t="shared" si="84"/>
        <v>10258</v>
      </c>
    </row>
    <row r="295" spans="1:11" s="84" customFormat="1" ht="14.25" customHeight="1">
      <c r="A295" s="86" t="s">
        <v>21</v>
      </c>
      <c r="B295" s="87" t="s">
        <v>22</v>
      </c>
      <c r="C295" s="85">
        <v>0</v>
      </c>
      <c r="D295" s="85">
        <v>142000</v>
      </c>
      <c r="E295" s="36">
        <f t="shared" si="81"/>
        <v>142000</v>
      </c>
      <c r="F295" s="88">
        <v>0</v>
      </c>
      <c r="G295" s="88">
        <v>-12000</v>
      </c>
      <c r="H295" s="36">
        <f t="shared" si="85"/>
        <v>-12000</v>
      </c>
      <c r="I295" s="36">
        <f t="shared" si="82"/>
        <v>0</v>
      </c>
      <c r="J295" s="36">
        <f t="shared" si="83"/>
        <v>130000</v>
      </c>
      <c r="K295" s="36">
        <f t="shared" si="84"/>
        <v>130000</v>
      </c>
    </row>
    <row r="296" spans="1:11" s="84" customFormat="1" ht="15" customHeight="1">
      <c r="A296" s="86" t="s">
        <v>181</v>
      </c>
      <c r="B296" s="87" t="s">
        <v>202</v>
      </c>
      <c r="C296" s="85">
        <v>0</v>
      </c>
      <c r="D296" s="85">
        <v>16810</v>
      </c>
      <c r="E296" s="36">
        <f t="shared" si="81"/>
        <v>16810</v>
      </c>
      <c r="F296" s="88">
        <v>0</v>
      </c>
      <c r="G296" s="88">
        <v>5190</v>
      </c>
      <c r="H296" s="36">
        <f t="shared" si="85"/>
        <v>5190</v>
      </c>
      <c r="I296" s="36">
        <f t="shared" si="82"/>
        <v>0</v>
      </c>
      <c r="J296" s="36">
        <f t="shared" si="83"/>
        <v>22000</v>
      </c>
      <c r="K296" s="36">
        <f t="shared" si="84"/>
        <v>22000</v>
      </c>
    </row>
    <row r="297" spans="1:11" s="84" customFormat="1" ht="13.5" customHeight="1">
      <c r="A297" s="83" t="s">
        <v>27</v>
      </c>
      <c r="B297" s="84" t="s">
        <v>28</v>
      </c>
      <c r="C297" s="85">
        <v>3033</v>
      </c>
      <c r="D297" s="85">
        <v>99000</v>
      </c>
      <c r="E297" s="36">
        <f t="shared" si="81"/>
        <v>102033</v>
      </c>
      <c r="F297" s="85">
        <v>0</v>
      </c>
      <c r="G297" s="85">
        <v>-21000</v>
      </c>
      <c r="H297" s="36">
        <f t="shared" si="85"/>
        <v>-21000</v>
      </c>
      <c r="I297" s="36">
        <f t="shared" si="82"/>
        <v>3033</v>
      </c>
      <c r="J297" s="36">
        <f t="shared" si="83"/>
        <v>78000</v>
      </c>
      <c r="K297" s="36">
        <f t="shared" si="84"/>
        <v>81033</v>
      </c>
    </row>
    <row r="298" spans="1:11" s="119" customFormat="1" ht="14.25" customHeight="1">
      <c r="A298" s="123" t="s">
        <v>130</v>
      </c>
      <c r="B298" s="124" t="s">
        <v>131</v>
      </c>
      <c r="C298" s="125">
        <v>0</v>
      </c>
      <c r="D298" s="125">
        <v>1280</v>
      </c>
      <c r="E298" s="26">
        <f t="shared" si="81"/>
        <v>1280</v>
      </c>
      <c r="F298" s="125">
        <v>0</v>
      </c>
      <c r="G298" s="125">
        <v>513</v>
      </c>
      <c r="H298" s="26">
        <f t="shared" si="85"/>
        <v>513</v>
      </c>
      <c r="I298" s="26">
        <f t="shared" si="82"/>
        <v>0</v>
      </c>
      <c r="J298" s="26">
        <f t="shared" si="83"/>
        <v>1793</v>
      </c>
      <c r="K298" s="26">
        <f t="shared" si="84"/>
        <v>1793</v>
      </c>
    </row>
    <row r="299" spans="1:11" s="60" customFormat="1" ht="14.25" customHeight="1">
      <c r="A299" s="30" t="s">
        <v>120</v>
      </c>
      <c r="B299" s="31" t="s">
        <v>121</v>
      </c>
      <c r="C299" s="32">
        <v>0</v>
      </c>
      <c r="D299" s="32">
        <v>10000</v>
      </c>
      <c r="E299" s="26">
        <f t="shared" si="81"/>
        <v>10000</v>
      </c>
      <c r="F299" s="32">
        <v>0</v>
      </c>
      <c r="G299" s="32">
        <v>1732</v>
      </c>
      <c r="H299" s="26">
        <f t="shared" si="85"/>
        <v>1732</v>
      </c>
      <c r="I299" s="26">
        <f t="shared" si="82"/>
        <v>0</v>
      </c>
      <c r="J299" s="26">
        <f t="shared" si="83"/>
        <v>11732</v>
      </c>
      <c r="K299" s="26">
        <f t="shared" si="84"/>
        <v>11732</v>
      </c>
    </row>
    <row r="300" spans="1:11" s="60" customFormat="1" ht="13.5" customHeight="1">
      <c r="A300" s="30" t="s">
        <v>23</v>
      </c>
      <c r="B300" s="31" t="s">
        <v>132</v>
      </c>
      <c r="C300" s="32">
        <v>318</v>
      </c>
      <c r="D300" s="32">
        <v>4500</v>
      </c>
      <c r="E300" s="26">
        <f t="shared" si="81"/>
        <v>4818</v>
      </c>
      <c r="F300" s="32">
        <v>0</v>
      </c>
      <c r="G300" s="32">
        <v>-2153</v>
      </c>
      <c r="H300" s="26">
        <f t="shared" si="85"/>
        <v>-2153</v>
      </c>
      <c r="I300" s="26">
        <f t="shared" si="82"/>
        <v>318</v>
      </c>
      <c r="J300" s="26">
        <f t="shared" si="83"/>
        <v>2347</v>
      </c>
      <c r="K300" s="26">
        <f t="shared" si="84"/>
        <v>2665</v>
      </c>
    </row>
    <row r="301" spans="1:11" s="98" customFormat="1" ht="13.5" customHeight="1">
      <c r="A301" s="97" t="s">
        <v>116</v>
      </c>
      <c r="B301" s="98" t="s">
        <v>117</v>
      </c>
      <c r="C301" s="132">
        <v>0</v>
      </c>
      <c r="D301" s="132">
        <v>179000</v>
      </c>
      <c r="E301" s="44">
        <f t="shared" si="81"/>
        <v>179000</v>
      </c>
      <c r="F301" s="99">
        <v>2100</v>
      </c>
      <c r="G301" s="99">
        <v>-8000</v>
      </c>
      <c r="H301" s="44">
        <f>SUM(F301:G301)</f>
        <v>-5900</v>
      </c>
      <c r="I301" s="44">
        <f t="shared" si="82"/>
        <v>2100</v>
      </c>
      <c r="J301" s="44">
        <f t="shared" si="83"/>
        <v>171000</v>
      </c>
      <c r="K301" s="44">
        <f t="shared" si="84"/>
        <v>173100</v>
      </c>
    </row>
    <row r="302" spans="1:11" s="93" customFormat="1" ht="15" customHeight="1">
      <c r="A302" s="92">
        <v>75414</v>
      </c>
      <c r="B302" s="93" t="s">
        <v>169</v>
      </c>
      <c r="C302" s="94">
        <v>2000</v>
      </c>
      <c r="D302" s="94">
        <v>0</v>
      </c>
      <c r="E302" s="23">
        <f aca="true" t="shared" si="86" ref="E302:E307">SUM(C302:D302)</f>
        <v>2000</v>
      </c>
      <c r="F302" s="95">
        <f>SUM(F303:F304)</f>
        <v>-1570</v>
      </c>
      <c r="G302" s="95">
        <v>0</v>
      </c>
      <c r="H302" s="23">
        <f aca="true" t="shared" si="87" ref="H302:H307">F302+G302</f>
        <v>-1570</v>
      </c>
      <c r="I302" s="23">
        <f aca="true" t="shared" si="88" ref="I302:I307">C302+F302</f>
        <v>430</v>
      </c>
      <c r="J302" s="23">
        <f aca="true" t="shared" si="89" ref="J302:J307">D302+G302</f>
        <v>0</v>
      </c>
      <c r="K302" s="23">
        <f aca="true" t="shared" si="90" ref="K302:K307">E302+H302</f>
        <v>430</v>
      </c>
    </row>
    <row r="303" spans="1:11" s="87" customFormat="1" ht="15" customHeight="1">
      <c r="A303" s="86" t="s">
        <v>40</v>
      </c>
      <c r="B303" s="87" t="s">
        <v>41</v>
      </c>
      <c r="C303" s="85">
        <v>1000</v>
      </c>
      <c r="D303" s="85">
        <v>0</v>
      </c>
      <c r="E303" s="36">
        <f t="shared" si="86"/>
        <v>1000</v>
      </c>
      <c r="F303" s="88">
        <v>-711</v>
      </c>
      <c r="G303" s="88">
        <v>0</v>
      </c>
      <c r="H303" s="36">
        <f t="shared" si="87"/>
        <v>-711</v>
      </c>
      <c r="I303" s="36">
        <f t="shared" si="88"/>
        <v>289</v>
      </c>
      <c r="J303" s="36">
        <f t="shared" si="89"/>
        <v>0</v>
      </c>
      <c r="K303" s="36">
        <f t="shared" si="90"/>
        <v>289</v>
      </c>
    </row>
    <row r="304" spans="1:11" s="87" customFormat="1" ht="15" customHeight="1">
      <c r="A304" s="86" t="s">
        <v>27</v>
      </c>
      <c r="B304" s="87" t="s">
        <v>28</v>
      </c>
      <c r="C304" s="85">
        <v>1000</v>
      </c>
      <c r="D304" s="85">
        <v>0</v>
      </c>
      <c r="E304" s="36">
        <f t="shared" si="86"/>
        <v>1000</v>
      </c>
      <c r="F304" s="88">
        <v>-859</v>
      </c>
      <c r="G304" s="88">
        <v>0</v>
      </c>
      <c r="H304" s="36">
        <f t="shared" si="87"/>
        <v>-859</v>
      </c>
      <c r="I304" s="36">
        <f t="shared" si="88"/>
        <v>141</v>
      </c>
      <c r="J304" s="36">
        <f t="shared" si="89"/>
        <v>0</v>
      </c>
      <c r="K304" s="36">
        <f t="shared" si="90"/>
        <v>141</v>
      </c>
    </row>
    <row r="305" spans="1:11" s="28" customFormat="1" ht="15" customHeight="1">
      <c r="A305" s="27">
        <v>75495</v>
      </c>
      <c r="B305" s="28" t="s">
        <v>110</v>
      </c>
      <c r="C305" s="22">
        <v>1000</v>
      </c>
      <c r="D305" s="22">
        <v>0</v>
      </c>
      <c r="E305" s="23">
        <f t="shared" si="86"/>
        <v>1000</v>
      </c>
      <c r="F305" s="29">
        <f>SUM(F306:F307)</f>
        <v>1570</v>
      </c>
      <c r="G305" s="29">
        <f>SUM(G307:G307)</f>
        <v>0</v>
      </c>
      <c r="H305" s="23">
        <f t="shared" si="87"/>
        <v>1570</v>
      </c>
      <c r="I305" s="23">
        <f t="shared" si="88"/>
        <v>2570</v>
      </c>
      <c r="J305" s="23">
        <f t="shared" si="89"/>
        <v>0</v>
      </c>
      <c r="K305" s="23">
        <f t="shared" si="90"/>
        <v>2570</v>
      </c>
    </row>
    <row r="306" spans="1:11" s="38" customFormat="1" ht="15" customHeight="1">
      <c r="A306" s="40" t="s">
        <v>40</v>
      </c>
      <c r="B306" s="38" t="s">
        <v>41</v>
      </c>
      <c r="C306" s="35">
        <v>0</v>
      </c>
      <c r="D306" s="35">
        <v>0</v>
      </c>
      <c r="E306" s="36">
        <f t="shared" si="86"/>
        <v>0</v>
      </c>
      <c r="F306" s="35">
        <v>1220</v>
      </c>
      <c r="G306" s="35">
        <v>0</v>
      </c>
      <c r="H306" s="36">
        <f t="shared" si="87"/>
        <v>1220</v>
      </c>
      <c r="I306" s="36">
        <f t="shared" si="88"/>
        <v>1220</v>
      </c>
      <c r="J306" s="36">
        <f t="shared" si="89"/>
        <v>0</v>
      </c>
      <c r="K306" s="36">
        <f t="shared" si="90"/>
        <v>1220</v>
      </c>
    </row>
    <row r="307" spans="1:11" s="76" customFormat="1" ht="15" customHeight="1">
      <c r="A307" s="75" t="s">
        <v>27</v>
      </c>
      <c r="B307" s="76" t="s">
        <v>28</v>
      </c>
      <c r="C307" s="58">
        <v>536</v>
      </c>
      <c r="D307" s="58">
        <v>0</v>
      </c>
      <c r="E307" s="59">
        <f t="shared" si="86"/>
        <v>536</v>
      </c>
      <c r="F307" s="77">
        <v>350</v>
      </c>
      <c r="G307" s="77">
        <v>0</v>
      </c>
      <c r="H307" s="59">
        <f t="shared" si="87"/>
        <v>350</v>
      </c>
      <c r="I307" s="59">
        <f t="shared" si="88"/>
        <v>886</v>
      </c>
      <c r="J307" s="59">
        <f t="shared" si="89"/>
        <v>0</v>
      </c>
      <c r="K307" s="59">
        <f t="shared" si="90"/>
        <v>886</v>
      </c>
    </row>
    <row r="308" spans="1:11" s="6" customFormat="1" ht="15" customHeight="1">
      <c r="A308" s="2" t="s">
        <v>33</v>
      </c>
      <c r="B308" s="13" t="s">
        <v>34</v>
      </c>
      <c r="C308" s="14">
        <v>31464954</v>
      </c>
      <c r="D308" s="14">
        <v>2900</v>
      </c>
      <c r="E308" s="5">
        <f>SUM(C308:D308)</f>
        <v>31467854</v>
      </c>
      <c r="F308" s="14">
        <f>F322+F333+F339+F349+F351+F311+F317+F356</f>
        <v>37004</v>
      </c>
      <c r="G308" s="14">
        <f>G322+G333+G339+G349+G351+G311+G317+G356</f>
        <v>11942</v>
      </c>
      <c r="H308" s="5">
        <f>F308+G308</f>
        <v>48946</v>
      </c>
      <c r="I308" s="5">
        <f>C308+F308</f>
        <v>31501958</v>
      </c>
      <c r="J308" s="5">
        <f>D308+G308</f>
        <v>14842</v>
      </c>
      <c r="K308" s="5">
        <f>E308+H308</f>
        <v>31516800</v>
      </c>
    </row>
    <row r="309" spans="1:11" s="9" customFormat="1" ht="15" customHeight="1">
      <c r="A309" s="15"/>
      <c r="B309" s="16" t="s">
        <v>12</v>
      </c>
      <c r="C309" s="17"/>
      <c r="D309" s="17"/>
      <c r="E309" s="8"/>
      <c r="F309" s="17"/>
      <c r="G309" s="17"/>
      <c r="H309" s="8"/>
      <c r="I309" s="8"/>
      <c r="J309" s="8"/>
      <c r="K309" s="8"/>
    </row>
    <row r="310" spans="1:11" s="12" customFormat="1" ht="15" customHeight="1">
      <c r="A310" s="18"/>
      <c r="B310" s="19" t="s">
        <v>13</v>
      </c>
      <c r="C310" s="20">
        <v>512668</v>
      </c>
      <c r="D310" s="20">
        <v>0</v>
      </c>
      <c r="E310" s="11">
        <f>SUM(C310:D310)</f>
        <v>512668</v>
      </c>
      <c r="F310" s="20">
        <v>0</v>
      </c>
      <c r="G310" s="20">
        <v>0</v>
      </c>
      <c r="H310" s="11">
        <f>F310+G310</f>
        <v>0</v>
      </c>
      <c r="I310" s="11">
        <f>C310+F310</f>
        <v>512668</v>
      </c>
      <c r="J310" s="11">
        <f>D310+G310</f>
        <v>0</v>
      </c>
      <c r="K310" s="11">
        <f>E310+H310</f>
        <v>512668</v>
      </c>
    </row>
    <row r="311" spans="1:11" s="80" customFormat="1" ht="13.5" customHeight="1">
      <c r="A311" s="126">
        <v>80102</v>
      </c>
      <c r="B311" s="127" t="s">
        <v>164</v>
      </c>
      <c r="C311" s="128">
        <v>1773400</v>
      </c>
      <c r="D311" s="128">
        <v>0</v>
      </c>
      <c r="E311" s="49">
        <f aca="true" t="shared" si="91" ref="E311:E320">SUM(C311:D311)</f>
        <v>1773400</v>
      </c>
      <c r="F311" s="128">
        <f>SUM(F312:F316)</f>
        <v>3005</v>
      </c>
      <c r="G311" s="128">
        <v>0</v>
      </c>
      <c r="H311" s="49">
        <f aca="true" t="shared" si="92" ref="H311:H320">F311+G311</f>
        <v>3005</v>
      </c>
      <c r="I311" s="49">
        <f aca="true" t="shared" si="93" ref="I311:K319">C311+F311</f>
        <v>1776405</v>
      </c>
      <c r="J311" s="49">
        <f t="shared" si="93"/>
        <v>0</v>
      </c>
      <c r="K311" s="49">
        <f>SUM(E311+H311)</f>
        <v>1776405</v>
      </c>
    </row>
    <row r="312" spans="1:11" s="87" customFormat="1" ht="13.5" customHeight="1">
      <c r="A312" s="86" t="s">
        <v>36</v>
      </c>
      <c r="B312" s="87" t="s">
        <v>37</v>
      </c>
      <c r="C312" s="85">
        <v>1210051</v>
      </c>
      <c r="D312" s="85">
        <v>0</v>
      </c>
      <c r="E312" s="36">
        <f>SUM(C312:D312)</f>
        <v>1210051</v>
      </c>
      <c r="F312" s="88">
        <f>-2051</f>
        <v>-2051</v>
      </c>
      <c r="G312" s="88">
        <v>0</v>
      </c>
      <c r="H312" s="36">
        <f>F312+G312</f>
        <v>-2051</v>
      </c>
      <c r="I312" s="36">
        <f>C312+F312</f>
        <v>1208000</v>
      </c>
      <c r="J312" s="36">
        <f>D312+G312</f>
        <v>0</v>
      </c>
      <c r="K312" s="36">
        <f>E312+H312</f>
        <v>1208000</v>
      </c>
    </row>
    <row r="313" spans="1:11" s="84" customFormat="1" ht="13.5" customHeight="1">
      <c r="A313" s="86" t="s">
        <v>38</v>
      </c>
      <c r="B313" s="87" t="s">
        <v>39</v>
      </c>
      <c r="C313" s="88">
        <v>216000</v>
      </c>
      <c r="D313" s="88">
        <v>0</v>
      </c>
      <c r="E313" s="36">
        <f t="shared" si="91"/>
        <v>216000</v>
      </c>
      <c r="F313" s="88">
        <v>10000</v>
      </c>
      <c r="G313" s="88">
        <v>0</v>
      </c>
      <c r="H313" s="36">
        <f t="shared" si="92"/>
        <v>10000</v>
      </c>
      <c r="I313" s="36">
        <f t="shared" si="93"/>
        <v>226000</v>
      </c>
      <c r="J313" s="36">
        <f t="shared" si="93"/>
        <v>0</v>
      </c>
      <c r="K313" s="36">
        <f>E313+H313</f>
        <v>226000</v>
      </c>
    </row>
    <row r="314" spans="1:11" s="90" customFormat="1" ht="13.5" customHeight="1">
      <c r="A314" s="89" t="s">
        <v>42</v>
      </c>
      <c r="B314" s="90" t="s">
        <v>43</v>
      </c>
      <c r="C314" s="91">
        <v>31000</v>
      </c>
      <c r="D314" s="91">
        <v>0</v>
      </c>
      <c r="E314" s="26">
        <f t="shared" si="91"/>
        <v>31000</v>
      </c>
      <c r="F314" s="91">
        <v>42</v>
      </c>
      <c r="G314" s="91">
        <v>0</v>
      </c>
      <c r="H314" s="26">
        <f t="shared" si="92"/>
        <v>42</v>
      </c>
      <c r="I314" s="26">
        <f t="shared" si="93"/>
        <v>31042</v>
      </c>
      <c r="J314" s="26">
        <f t="shared" si="93"/>
        <v>0</v>
      </c>
      <c r="K314" s="26">
        <f>E314+H314</f>
        <v>31042</v>
      </c>
    </row>
    <row r="315" spans="1:11" s="84" customFormat="1" ht="13.5" customHeight="1">
      <c r="A315" s="86" t="s">
        <v>27</v>
      </c>
      <c r="B315" s="87" t="s">
        <v>28</v>
      </c>
      <c r="C315" s="88">
        <v>10000</v>
      </c>
      <c r="D315" s="88">
        <v>0</v>
      </c>
      <c r="E315" s="36">
        <f t="shared" si="91"/>
        <v>10000</v>
      </c>
      <c r="F315" s="88">
        <f>-2000</f>
        <v>-2000</v>
      </c>
      <c r="G315" s="88">
        <v>0</v>
      </c>
      <c r="H315" s="36">
        <f t="shared" si="92"/>
        <v>-2000</v>
      </c>
      <c r="I315" s="36">
        <f t="shared" si="93"/>
        <v>8000</v>
      </c>
      <c r="J315" s="36">
        <f t="shared" si="93"/>
        <v>0</v>
      </c>
      <c r="K315" s="36">
        <f>E315+H315</f>
        <v>8000</v>
      </c>
    </row>
    <row r="316" spans="1:11" s="130" customFormat="1" ht="13.5" customHeight="1">
      <c r="A316" s="129" t="s">
        <v>29</v>
      </c>
      <c r="B316" s="130" t="s">
        <v>30</v>
      </c>
      <c r="C316" s="131">
        <v>104000</v>
      </c>
      <c r="D316" s="131">
        <v>0</v>
      </c>
      <c r="E316" s="59">
        <f>SUM(C316:D316)</f>
        <v>104000</v>
      </c>
      <c r="F316" s="131">
        <f>-2986</f>
        <v>-2986</v>
      </c>
      <c r="G316" s="131">
        <v>0</v>
      </c>
      <c r="H316" s="59">
        <f t="shared" si="92"/>
        <v>-2986</v>
      </c>
      <c r="I316" s="59">
        <f t="shared" si="93"/>
        <v>101014</v>
      </c>
      <c r="J316" s="59">
        <f t="shared" si="93"/>
        <v>0</v>
      </c>
      <c r="K316" s="59">
        <f>E316+H316</f>
        <v>101014</v>
      </c>
    </row>
    <row r="317" spans="1:11" s="80" customFormat="1" ht="13.5" customHeight="1">
      <c r="A317" s="126">
        <v>80111</v>
      </c>
      <c r="B317" s="127" t="s">
        <v>165</v>
      </c>
      <c r="C317" s="128">
        <v>1365300</v>
      </c>
      <c r="D317" s="128">
        <v>0</v>
      </c>
      <c r="E317" s="49">
        <f t="shared" si="91"/>
        <v>1365300</v>
      </c>
      <c r="F317" s="128">
        <f>SUM(F318:F321)</f>
        <v>13839</v>
      </c>
      <c r="G317" s="128">
        <v>0</v>
      </c>
      <c r="H317" s="49">
        <f t="shared" si="92"/>
        <v>13839</v>
      </c>
      <c r="I317" s="49">
        <f t="shared" si="93"/>
        <v>1379139</v>
      </c>
      <c r="J317" s="49">
        <f t="shared" si="93"/>
        <v>0</v>
      </c>
      <c r="K317" s="49">
        <f>SUM(E317+H317)</f>
        <v>1379139</v>
      </c>
    </row>
    <row r="318" spans="1:11" s="87" customFormat="1" ht="13.5" customHeight="1">
      <c r="A318" s="86" t="s">
        <v>36</v>
      </c>
      <c r="B318" s="87" t="s">
        <v>37</v>
      </c>
      <c r="C318" s="85">
        <v>1016444</v>
      </c>
      <c r="D318" s="85">
        <v>0</v>
      </c>
      <c r="E318" s="36">
        <f t="shared" si="91"/>
        <v>1016444</v>
      </c>
      <c r="F318" s="88">
        <v>6056</v>
      </c>
      <c r="G318" s="88">
        <v>0</v>
      </c>
      <c r="H318" s="36">
        <f t="shared" si="92"/>
        <v>6056</v>
      </c>
      <c r="I318" s="36">
        <f t="shared" si="93"/>
        <v>1022500</v>
      </c>
      <c r="J318" s="36">
        <f t="shared" si="93"/>
        <v>0</v>
      </c>
      <c r="K318" s="36">
        <f t="shared" si="93"/>
        <v>1022500</v>
      </c>
    </row>
    <row r="319" spans="1:11" s="84" customFormat="1" ht="13.5" customHeight="1">
      <c r="A319" s="86" t="s">
        <v>38</v>
      </c>
      <c r="B319" s="87" t="s">
        <v>39</v>
      </c>
      <c r="C319" s="88">
        <v>176000</v>
      </c>
      <c r="D319" s="88">
        <v>0</v>
      </c>
      <c r="E319" s="36">
        <f t="shared" si="91"/>
        <v>176000</v>
      </c>
      <c r="F319" s="88">
        <v>5500</v>
      </c>
      <c r="G319" s="88">
        <v>0</v>
      </c>
      <c r="H319" s="36">
        <f t="shared" si="92"/>
        <v>5500</v>
      </c>
      <c r="I319" s="36">
        <f t="shared" si="93"/>
        <v>181500</v>
      </c>
      <c r="J319" s="36">
        <f t="shared" si="93"/>
        <v>0</v>
      </c>
      <c r="K319" s="36">
        <f t="shared" si="93"/>
        <v>181500</v>
      </c>
    </row>
    <row r="320" spans="1:11" s="90" customFormat="1" ht="13.5" customHeight="1">
      <c r="A320" s="89" t="s">
        <v>42</v>
      </c>
      <c r="B320" s="90" t="s">
        <v>43</v>
      </c>
      <c r="C320" s="91">
        <v>25800</v>
      </c>
      <c r="D320" s="91">
        <v>0</v>
      </c>
      <c r="E320" s="26">
        <f t="shared" si="91"/>
        <v>25800</v>
      </c>
      <c r="F320" s="91">
        <v>-144</v>
      </c>
      <c r="G320" s="91">
        <v>0</v>
      </c>
      <c r="H320" s="26">
        <f t="shared" si="92"/>
        <v>-144</v>
      </c>
      <c r="I320" s="26">
        <f aca="true" t="shared" si="94" ref="I320:K321">C320+F320</f>
        <v>25656</v>
      </c>
      <c r="J320" s="26">
        <f t="shared" si="94"/>
        <v>0</v>
      </c>
      <c r="K320" s="26">
        <f t="shared" si="94"/>
        <v>25656</v>
      </c>
    </row>
    <row r="321" spans="1:11" s="130" customFormat="1" ht="13.5" customHeight="1">
      <c r="A321" s="129" t="s">
        <v>29</v>
      </c>
      <c r="B321" s="130" t="s">
        <v>30</v>
      </c>
      <c r="C321" s="131">
        <v>59780</v>
      </c>
      <c r="D321" s="131">
        <v>0</v>
      </c>
      <c r="E321" s="59">
        <f aca="true" t="shared" si="95" ref="E321:E326">SUM(C321:D321)</f>
        <v>59780</v>
      </c>
      <c r="F321" s="131">
        <v>2427</v>
      </c>
      <c r="G321" s="131">
        <v>0</v>
      </c>
      <c r="H321" s="59">
        <f aca="true" t="shared" si="96" ref="H321:H332">F321+G321</f>
        <v>2427</v>
      </c>
      <c r="I321" s="59">
        <f t="shared" si="94"/>
        <v>62207</v>
      </c>
      <c r="J321" s="59">
        <f t="shared" si="94"/>
        <v>0</v>
      </c>
      <c r="K321" s="59">
        <f t="shared" si="94"/>
        <v>62207</v>
      </c>
    </row>
    <row r="322" spans="1:11" ht="13.5" customHeight="1">
      <c r="A322" s="27">
        <v>80120</v>
      </c>
      <c r="B322" s="28" t="s">
        <v>76</v>
      </c>
      <c r="C322" s="29">
        <v>11425808</v>
      </c>
      <c r="D322" s="29">
        <v>0</v>
      </c>
      <c r="E322" s="23">
        <f t="shared" si="95"/>
        <v>11425808</v>
      </c>
      <c r="F322" s="29">
        <f>SUM(F323:F332)</f>
        <v>78962</v>
      </c>
      <c r="G322" s="29">
        <f>SUM(G323:G332)</f>
        <v>0</v>
      </c>
      <c r="H322" s="23">
        <f t="shared" si="96"/>
        <v>78962</v>
      </c>
      <c r="I322" s="23">
        <f aca="true" t="shared" si="97" ref="I322:K332">C322+F322</f>
        <v>11504770</v>
      </c>
      <c r="J322" s="23">
        <f t="shared" si="97"/>
        <v>0</v>
      </c>
      <c r="K322" s="23">
        <f>SUM(E322+H322)</f>
        <v>11504770</v>
      </c>
    </row>
    <row r="323" spans="1:11" s="87" customFormat="1" ht="13.5" customHeight="1">
      <c r="A323" s="86" t="s">
        <v>156</v>
      </c>
      <c r="B323" s="87" t="s">
        <v>157</v>
      </c>
      <c r="C323" s="85">
        <v>605000</v>
      </c>
      <c r="D323" s="85">
        <v>0</v>
      </c>
      <c r="E323" s="36">
        <f t="shared" si="95"/>
        <v>605000</v>
      </c>
      <c r="F323" s="88">
        <f>64151</f>
        <v>64151</v>
      </c>
      <c r="G323" s="88">
        <v>0</v>
      </c>
      <c r="H323" s="36">
        <f t="shared" si="96"/>
        <v>64151</v>
      </c>
      <c r="I323" s="36">
        <f t="shared" si="97"/>
        <v>669151</v>
      </c>
      <c r="J323" s="36">
        <f t="shared" si="97"/>
        <v>0</v>
      </c>
      <c r="K323" s="36">
        <f>E323+H323</f>
        <v>669151</v>
      </c>
    </row>
    <row r="324" spans="1:11" s="34" customFormat="1" ht="13.5" customHeight="1">
      <c r="A324" s="33" t="s">
        <v>36</v>
      </c>
      <c r="B324" s="34" t="s">
        <v>37</v>
      </c>
      <c r="C324" s="35">
        <v>7194742</v>
      </c>
      <c r="D324" s="35">
        <v>0</v>
      </c>
      <c r="E324" s="36">
        <f t="shared" si="95"/>
        <v>7194742</v>
      </c>
      <c r="F324" s="37">
        <f>20682-24800+20000</f>
        <v>15882</v>
      </c>
      <c r="G324" s="37">
        <v>0</v>
      </c>
      <c r="H324" s="36">
        <f t="shared" si="96"/>
        <v>15882</v>
      </c>
      <c r="I324" s="36">
        <f t="shared" si="97"/>
        <v>7210624</v>
      </c>
      <c r="J324" s="36">
        <f t="shared" si="97"/>
        <v>0</v>
      </c>
      <c r="K324" s="36">
        <f>E324+H324</f>
        <v>7210624</v>
      </c>
    </row>
    <row r="325" spans="1:11" s="34" customFormat="1" ht="13.5" customHeight="1">
      <c r="A325" s="33" t="s">
        <v>20</v>
      </c>
      <c r="B325" s="34" t="s">
        <v>134</v>
      </c>
      <c r="C325" s="35">
        <v>527737</v>
      </c>
      <c r="D325" s="35">
        <v>0</v>
      </c>
      <c r="E325" s="36">
        <f t="shared" si="95"/>
        <v>527737</v>
      </c>
      <c r="F325" s="37">
        <f>-331</f>
        <v>-331</v>
      </c>
      <c r="G325" s="37">
        <v>0</v>
      </c>
      <c r="H325" s="36">
        <f t="shared" si="96"/>
        <v>-331</v>
      </c>
      <c r="I325" s="36">
        <f t="shared" si="97"/>
        <v>527406</v>
      </c>
      <c r="J325" s="36">
        <f t="shared" si="97"/>
        <v>0</v>
      </c>
      <c r="K325" s="36">
        <f>E325+H325</f>
        <v>527406</v>
      </c>
    </row>
    <row r="326" spans="1:11" s="39" customFormat="1" ht="13.5" customHeight="1">
      <c r="A326" s="33" t="s">
        <v>38</v>
      </c>
      <c r="B326" s="34" t="s">
        <v>39</v>
      </c>
      <c r="C326" s="37">
        <v>1324100</v>
      </c>
      <c r="D326" s="37">
        <v>0</v>
      </c>
      <c r="E326" s="36">
        <f t="shared" si="95"/>
        <v>1324100</v>
      </c>
      <c r="F326" s="37">
        <f>1000-5464+1000</f>
        <v>-3464</v>
      </c>
      <c r="G326" s="37">
        <v>0</v>
      </c>
      <c r="H326" s="36">
        <f t="shared" si="96"/>
        <v>-3464</v>
      </c>
      <c r="I326" s="36">
        <f t="shared" si="97"/>
        <v>1320636</v>
      </c>
      <c r="J326" s="36">
        <f t="shared" si="97"/>
        <v>0</v>
      </c>
      <c r="K326" s="36">
        <f>E326+H326</f>
        <v>1320636</v>
      </c>
    </row>
    <row r="327" spans="1:11" s="90" customFormat="1" ht="13.5" customHeight="1">
      <c r="A327" s="89" t="s">
        <v>42</v>
      </c>
      <c r="B327" s="90" t="s">
        <v>43</v>
      </c>
      <c r="C327" s="91">
        <v>182900</v>
      </c>
      <c r="D327" s="91">
        <v>0</v>
      </c>
      <c r="E327" s="26">
        <f aca="true" t="shared" si="98" ref="E327:E332">SUM(C327:D327)</f>
        <v>182900</v>
      </c>
      <c r="F327" s="91">
        <f>-672</f>
        <v>-672</v>
      </c>
      <c r="G327" s="91">
        <v>0</v>
      </c>
      <c r="H327" s="26">
        <f t="shared" si="96"/>
        <v>-672</v>
      </c>
      <c r="I327" s="26">
        <f t="shared" si="97"/>
        <v>182228</v>
      </c>
      <c r="J327" s="26">
        <f t="shared" si="97"/>
        <v>0</v>
      </c>
      <c r="K327" s="26">
        <f t="shared" si="97"/>
        <v>182228</v>
      </c>
    </row>
    <row r="328" spans="1:11" ht="13.5" customHeight="1">
      <c r="A328" s="30" t="s">
        <v>40</v>
      </c>
      <c r="B328" s="31" t="s">
        <v>41</v>
      </c>
      <c r="C328" s="32">
        <v>148026</v>
      </c>
      <c r="D328" s="32">
        <v>0</v>
      </c>
      <c r="E328" s="26">
        <f>SUM(C328:D328)</f>
        <v>148026</v>
      </c>
      <c r="F328" s="32">
        <f>-5042</f>
        <v>-5042</v>
      </c>
      <c r="G328" s="32">
        <v>0</v>
      </c>
      <c r="H328" s="26">
        <f t="shared" si="96"/>
        <v>-5042</v>
      </c>
      <c r="I328" s="26">
        <f t="shared" si="97"/>
        <v>142984</v>
      </c>
      <c r="J328" s="26">
        <f t="shared" si="97"/>
        <v>0</v>
      </c>
      <c r="K328" s="26">
        <f t="shared" si="97"/>
        <v>142984</v>
      </c>
    </row>
    <row r="329" spans="1:11" s="84" customFormat="1" ht="13.5" customHeight="1">
      <c r="A329" s="86" t="s">
        <v>21</v>
      </c>
      <c r="B329" s="87" t="s">
        <v>22</v>
      </c>
      <c r="C329" s="85">
        <v>447365</v>
      </c>
      <c r="D329" s="85">
        <v>0</v>
      </c>
      <c r="E329" s="36">
        <f t="shared" si="98"/>
        <v>447365</v>
      </c>
      <c r="F329" s="88">
        <v>8000</v>
      </c>
      <c r="G329" s="88">
        <v>0</v>
      </c>
      <c r="H329" s="36">
        <f t="shared" si="96"/>
        <v>8000</v>
      </c>
      <c r="I329" s="36">
        <f t="shared" si="97"/>
        <v>455365</v>
      </c>
      <c r="J329" s="36">
        <f t="shared" si="97"/>
        <v>0</v>
      </c>
      <c r="K329" s="36">
        <f t="shared" si="97"/>
        <v>455365</v>
      </c>
    </row>
    <row r="330" spans="1:11" s="84" customFormat="1" ht="13.5" customHeight="1">
      <c r="A330" s="83" t="s">
        <v>27</v>
      </c>
      <c r="B330" s="84" t="s">
        <v>28</v>
      </c>
      <c r="C330" s="85">
        <v>87142</v>
      </c>
      <c r="D330" s="85">
        <v>0</v>
      </c>
      <c r="E330" s="36">
        <f t="shared" si="98"/>
        <v>87142</v>
      </c>
      <c r="F330" s="85">
        <f>1335-100+723</f>
        <v>1958</v>
      </c>
      <c r="G330" s="85">
        <v>0</v>
      </c>
      <c r="H330" s="36">
        <f t="shared" si="96"/>
        <v>1958</v>
      </c>
      <c r="I330" s="36">
        <f t="shared" si="97"/>
        <v>89100</v>
      </c>
      <c r="J330" s="36">
        <f t="shared" si="97"/>
        <v>0</v>
      </c>
      <c r="K330" s="36">
        <f t="shared" si="97"/>
        <v>89100</v>
      </c>
    </row>
    <row r="331" spans="1:11" s="60" customFormat="1" ht="13.5" customHeight="1">
      <c r="A331" s="30" t="s">
        <v>120</v>
      </c>
      <c r="B331" s="31" t="s">
        <v>121</v>
      </c>
      <c r="C331" s="32">
        <v>4600</v>
      </c>
      <c r="D331" s="32">
        <v>0</v>
      </c>
      <c r="E331" s="26">
        <f t="shared" si="98"/>
        <v>4600</v>
      </c>
      <c r="F331" s="32">
        <f>-1360-80</f>
        <v>-1440</v>
      </c>
      <c r="G331" s="32">
        <v>0</v>
      </c>
      <c r="H331" s="26">
        <f t="shared" si="96"/>
        <v>-1440</v>
      </c>
      <c r="I331" s="26">
        <f t="shared" si="97"/>
        <v>3160</v>
      </c>
      <c r="J331" s="26">
        <f t="shared" si="97"/>
        <v>0</v>
      </c>
      <c r="K331" s="26">
        <f>E331+H331</f>
        <v>3160</v>
      </c>
    </row>
    <row r="332" spans="1:11" s="60" customFormat="1" ht="13.5" customHeight="1">
      <c r="A332" s="30" t="s">
        <v>23</v>
      </c>
      <c r="B332" s="31" t="s">
        <v>132</v>
      </c>
      <c r="C332" s="32">
        <v>1000</v>
      </c>
      <c r="D332" s="32">
        <v>0</v>
      </c>
      <c r="E332" s="26">
        <f t="shared" si="98"/>
        <v>1000</v>
      </c>
      <c r="F332" s="32">
        <f>-80</f>
        <v>-80</v>
      </c>
      <c r="G332" s="32">
        <v>0</v>
      </c>
      <c r="H332" s="26">
        <f t="shared" si="96"/>
        <v>-80</v>
      </c>
      <c r="I332" s="26">
        <f t="shared" si="97"/>
        <v>920</v>
      </c>
      <c r="J332" s="26">
        <f t="shared" si="97"/>
        <v>0</v>
      </c>
      <c r="K332" s="26">
        <f>E332+H332</f>
        <v>920</v>
      </c>
    </row>
    <row r="333" spans="1:11" s="28" customFormat="1" ht="13.5" customHeight="1">
      <c r="A333" s="27">
        <v>80123</v>
      </c>
      <c r="B333" s="28" t="s">
        <v>91</v>
      </c>
      <c r="C333" s="22">
        <v>1180069</v>
      </c>
      <c r="D333" s="22">
        <v>0</v>
      </c>
      <c r="E333" s="23">
        <f aca="true" t="shared" si="99" ref="E333:E354">SUM(C333:D333)</f>
        <v>1180069</v>
      </c>
      <c r="F333" s="29">
        <f>SUM(F334:F338)</f>
        <v>-26794</v>
      </c>
      <c r="G333" s="29">
        <f>SUM(G335:G338)</f>
        <v>0</v>
      </c>
      <c r="H333" s="23">
        <f aca="true" t="shared" si="100" ref="H333:H373">F333+G333</f>
        <v>-26794</v>
      </c>
      <c r="I333" s="23">
        <f aca="true" t="shared" si="101" ref="I333:K338">C333+F333</f>
        <v>1153275</v>
      </c>
      <c r="J333" s="23">
        <f t="shared" si="101"/>
        <v>0</v>
      </c>
      <c r="K333" s="23">
        <f t="shared" si="101"/>
        <v>1153275</v>
      </c>
    </row>
    <row r="334" spans="1:11" s="87" customFormat="1" ht="13.5" customHeight="1">
      <c r="A334" s="86" t="s">
        <v>156</v>
      </c>
      <c r="B334" s="87" t="s">
        <v>157</v>
      </c>
      <c r="C334" s="85">
        <v>26400</v>
      </c>
      <c r="D334" s="85">
        <v>0</v>
      </c>
      <c r="E334" s="36">
        <f>SUM(C334:D334)</f>
        <v>26400</v>
      </c>
      <c r="F334" s="88">
        <f>-9943</f>
        <v>-9943</v>
      </c>
      <c r="G334" s="88">
        <v>0</v>
      </c>
      <c r="H334" s="36">
        <f t="shared" si="100"/>
        <v>-9943</v>
      </c>
      <c r="I334" s="36">
        <f t="shared" si="101"/>
        <v>16457</v>
      </c>
      <c r="J334" s="36">
        <f t="shared" si="101"/>
        <v>0</v>
      </c>
      <c r="K334" s="36">
        <f>E334+H334</f>
        <v>16457</v>
      </c>
    </row>
    <row r="335" spans="1:11" s="34" customFormat="1" ht="13.5" customHeight="1">
      <c r="A335" s="33" t="s">
        <v>36</v>
      </c>
      <c r="B335" s="34" t="s">
        <v>37</v>
      </c>
      <c r="C335" s="35">
        <v>827090</v>
      </c>
      <c r="D335" s="35">
        <v>0</v>
      </c>
      <c r="E335" s="36">
        <f t="shared" si="99"/>
        <v>827090</v>
      </c>
      <c r="F335" s="37">
        <f>-9487</f>
        <v>-9487</v>
      </c>
      <c r="G335" s="37">
        <v>0</v>
      </c>
      <c r="H335" s="36">
        <f t="shared" si="100"/>
        <v>-9487</v>
      </c>
      <c r="I335" s="36">
        <f t="shared" si="101"/>
        <v>817603</v>
      </c>
      <c r="J335" s="36">
        <f t="shared" si="101"/>
        <v>0</v>
      </c>
      <c r="K335" s="36">
        <f t="shared" si="101"/>
        <v>817603</v>
      </c>
    </row>
    <row r="336" spans="1:11" s="34" customFormat="1" ht="13.5" customHeight="1">
      <c r="A336" s="33" t="s">
        <v>20</v>
      </c>
      <c r="B336" s="34" t="s">
        <v>134</v>
      </c>
      <c r="C336" s="35">
        <v>63096</v>
      </c>
      <c r="D336" s="35">
        <v>0</v>
      </c>
      <c r="E336" s="36">
        <f>SUM(C336:D336)</f>
        <v>63096</v>
      </c>
      <c r="F336" s="37">
        <f>-2745</f>
        <v>-2745</v>
      </c>
      <c r="G336" s="37">
        <v>0</v>
      </c>
      <c r="H336" s="36">
        <f t="shared" si="100"/>
        <v>-2745</v>
      </c>
      <c r="I336" s="36">
        <f t="shared" si="101"/>
        <v>60351</v>
      </c>
      <c r="J336" s="36">
        <f t="shared" si="101"/>
        <v>0</v>
      </c>
      <c r="K336" s="36">
        <f>E336+H336</f>
        <v>60351</v>
      </c>
    </row>
    <row r="337" spans="1:11" s="39" customFormat="1" ht="13.5" customHeight="1">
      <c r="A337" s="33" t="s">
        <v>38</v>
      </c>
      <c r="B337" s="34" t="s">
        <v>39</v>
      </c>
      <c r="C337" s="37">
        <v>149834</v>
      </c>
      <c r="D337" s="37">
        <v>0</v>
      </c>
      <c r="E337" s="36">
        <f t="shared" si="99"/>
        <v>149834</v>
      </c>
      <c r="F337" s="37">
        <f>-4099</f>
        <v>-4099</v>
      </c>
      <c r="G337" s="37">
        <v>0</v>
      </c>
      <c r="H337" s="36">
        <f t="shared" si="100"/>
        <v>-4099</v>
      </c>
      <c r="I337" s="36">
        <f t="shared" si="101"/>
        <v>145735</v>
      </c>
      <c r="J337" s="36">
        <f t="shared" si="101"/>
        <v>0</v>
      </c>
      <c r="K337" s="36">
        <f t="shared" si="101"/>
        <v>145735</v>
      </c>
    </row>
    <row r="338" spans="1:11" s="39" customFormat="1" ht="13.5" customHeight="1">
      <c r="A338" s="33" t="s">
        <v>42</v>
      </c>
      <c r="B338" s="34" t="s">
        <v>43</v>
      </c>
      <c r="C338" s="37">
        <v>20658</v>
      </c>
      <c r="D338" s="37">
        <v>0</v>
      </c>
      <c r="E338" s="36">
        <f t="shared" si="99"/>
        <v>20658</v>
      </c>
      <c r="F338" s="37">
        <f>-520</f>
        <v>-520</v>
      </c>
      <c r="G338" s="37">
        <v>0</v>
      </c>
      <c r="H338" s="36">
        <f t="shared" si="100"/>
        <v>-520</v>
      </c>
      <c r="I338" s="36">
        <f t="shared" si="101"/>
        <v>20138</v>
      </c>
      <c r="J338" s="36">
        <f t="shared" si="101"/>
        <v>0</v>
      </c>
      <c r="K338" s="36">
        <f t="shared" si="101"/>
        <v>20138</v>
      </c>
    </row>
    <row r="339" spans="1:11" s="28" customFormat="1" ht="15" customHeight="1">
      <c r="A339" s="27">
        <v>80130</v>
      </c>
      <c r="B339" s="28" t="s">
        <v>78</v>
      </c>
      <c r="C339" s="22">
        <v>14227421</v>
      </c>
      <c r="D339" s="22">
        <v>0</v>
      </c>
      <c r="E339" s="23">
        <f t="shared" si="99"/>
        <v>14227421</v>
      </c>
      <c r="F339" s="29">
        <f>SUM(F340:F348)</f>
        <v>-23471</v>
      </c>
      <c r="G339" s="29">
        <v>0</v>
      </c>
      <c r="H339" s="23">
        <f t="shared" si="100"/>
        <v>-23471</v>
      </c>
      <c r="I339" s="23">
        <f aca="true" t="shared" si="102" ref="I339:K347">C339+F339</f>
        <v>14203950</v>
      </c>
      <c r="J339" s="23">
        <f t="shared" si="102"/>
        <v>0</v>
      </c>
      <c r="K339" s="23">
        <f t="shared" si="102"/>
        <v>14203950</v>
      </c>
    </row>
    <row r="340" spans="1:11" s="87" customFormat="1" ht="15" customHeight="1">
      <c r="A340" s="86" t="s">
        <v>156</v>
      </c>
      <c r="B340" s="87" t="s">
        <v>157</v>
      </c>
      <c r="C340" s="85">
        <v>2870726</v>
      </c>
      <c r="D340" s="85">
        <v>0</v>
      </c>
      <c r="E340" s="36">
        <f>SUM(C340:D340)</f>
        <v>2870726</v>
      </c>
      <c r="F340" s="88">
        <f>-11605</f>
        <v>-11605</v>
      </c>
      <c r="G340" s="88">
        <v>0</v>
      </c>
      <c r="H340" s="36">
        <f>F340+G340</f>
        <v>-11605</v>
      </c>
      <c r="I340" s="36">
        <f t="shared" si="102"/>
        <v>2859121</v>
      </c>
      <c r="J340" s="36">
        <f t="shared" si="102"/>
        <v>0</v>
      </c>
      <c r="K340" s="36">
        <f>E340+H340</f>
        <v>2859121</v>
      </c>
    </row>
    <row r="341" spans="1:11" s="34" customFormat="1" ht="13.5" customHeight="1">
      <c r="A341" s="33" t="s">
        <v>36</v>
      </c>
      <c r="B341" s="34" t="s">
        <v>37</v>
      </c>
      <c r="C341" s="35">
        <v>7018836</v>
      </c>
      <c r="D341" s="35">
        <v>0</v>
      </c>
      <c r="E341" s="36">
        <f t="shared" si="99"/>
        <v>7018836</v>
      </c>
      <c r="F341" s="37">
        <f>-19200</f>
        <v>-19200</v>
      </c>
      <c r="G341" s="37">
        <v>0</v>
      </c>
      <c r="H341" s="36">
        <f t="shared" si="100"/>
        <v>-19200</v>
      </c>
      <c r="I341" s="36">
        <f t="shared" si="102"/>
        <v>6999636</v>
      </c>
      <c r="J341" s="36">
        <f t="shared" si="102"/>
        <v>0</v>
      </c>
      <c r="K341" s="36">
        <f t="shared" si="102"/>
        <v>6999636</v>
      </c>
    </row>
    <row r="342" spans="1:11" s="39" customFormat="1" ht="13.5" customHeight="1">
      <c r="A342" s="33" t="s">
        <v>38</v>
      </c>
      <c r="B342" s="34" t="s">
        <v>39</v>
      </c>
      <c r="C342" s="37">
        <v>1257620</v>
      </c>
      <c r="D342" s="37">
        <v>0</v>
      </c>
      <c r="E342" s="36">
        <f>SUM(C342:D342)</f>
        <v>1257620</v>
      </c>
      <c r="F342" s="37">
        <f>-4568+2000</f>
        <v>-2568</v>
      </c>
      <c r="G342" s="37">
        <v>0</v>
      </c>
      <c r="H342" s="36">
        <f>F342+G342</f>
        <v>-2568</v>
      </c>
      <c r="I342" s="36">
        <f t="shared" si="102"/>
        <v>1255052</v>
      </c>
      <c r="J342" s="36">
        <f t="shared" si="102"/>
        <v>0</v>
      </c>
      <c r="K342" s="36">
        <f t="shared" si="102"/>
        <v>1255052</v>
      </c>
    </row>
    <row r="343" spans="1:11" s="39" customFormat="1" ht="13.5" customHeight="1">
      <c r="A343" s="33" t="s">
        <v>42</v>
      </c>
      <c r="B343" s="34" t="s">
        <v>43</v>
      </c>
      <c r="C343" s="37">
        <v>176500</v>
      </c>
      <c r="D343" s="37">
        <v>0</v>
      </c>
      <c r="E343" s="36">
        <f>SUM(C343:D343)</f>
        <v>176500</v>
      </c>
      <c r="F343" s="37">
        <f>-488+1000</f>
        <v>512</v>
      </c>
      <c r="G343" s="37">
        <v>0</v>
      </c>
      <c r="H343" s="36">
        <f>F343+G343</f>
        <v>512</v>
      </c>
      <c r="I343" s="36">
        <f t="shared" si="102"/>
        <v>177012</v>
      </c>
      <c r="J343" s="36">
        <f t="shared" si="102"/>
        <v>0</v>
      </c>
      <c r="K343" s="36">
        <f t="shared" si="102"/>
        <v>177012</v>
      </c>
    </row>
    <row r="344" spans="1:11" ht="15" customHeight="1">
      <c r="A344" s="30" t="s">
        <v>40</v>
      </c>
      <c r="B344" s="31" t="s">
        <v>41</v>
      </c>
      <c r="C344" s="32">
        <v>310296</v>
      </c>
      <c r="D344" s="32">
        <v>0</v>
      </c>
      <c r="E344" s="26">
        <f t="shared" si="99"/>
        <v>310296</v>
      </c>
      <c r="F344" s="32">
        <f>2492+2768+340</f>
        <v>5600</v>
      </c>
      <c r="G344" s="32">
        <v>0</v>
      </c>
      <c r="H344" s="26">
        <f t="shared" si="100"/>
        <v>5600</v>
      </c>
      <c r="I344" s="26">
        <f t="shared" si="102"/>
        <v>315896</v>
      </c>
      <c r="J344" s="26">
        <f t="shared" si="102"/>
        <v>0</v>
      </c>
      <c r="K344" s="26">
        <f t="shared" si="102"/>
        <v>315896</v>
      </c>
    </row>
    <row r="345" spans="1:11" ht="15" customHeight="1">
      <c r="A345" s="30" t="s">
        <v>45</v>
      </c>
      <c r="B345" s="31" t="s">
        <v>77</v>
      </c>
      <c r="C345" s="32">
        <v>108894</v>
      </c>
      <c r="D345" s="32">
        <v>0</v>
      </c>
      <c r="E345" s="26">
        <f t="shared" si="99"/>
        <v>108894</v>
      </c>
      <c r="F345" s="32">
        <f>-500</f>
        <v>-500</v>
      </c>
      <c r="G345" s="32">
        <v>0</v>
      </c>
      <c r="H345" s="26">
        <f t="shared" si="100"/>
        <v>-500</v>
      </c>
      <c r="I345" s="26">
        <f t="shared" si="102"/>
        <v>108394</v>
      </c>
      <c r="J345" s="26">
        <f t="shared" si="102"/>
        <v>0</v>
      </c>
      <c r="K345" s="26">
        <f t="shared" si="102"/>
        <v>108394</v>
      </c>
    </row>
    <row r="346" spans="1:11" s="84" customFormat="1" ht="15" customHeight="1">
      <c r="A346" s="86" t="s">
        <v>21</v>
      </c>
      <c r="B346" s="87" t="s">
        <v>22</v>
      </c>
      <c r="C346" s="85">
        <v>409176</v>
      </c>
      <c r="D346" s="85">
        <v>0</v>
      </c>
      <c r="E346" s="36">
        <f>SUM(C346:D346)</f>
        <v>409176</v>
      </c>
      <c r="F346" s="88">
        <f>-1000+5000</f>
        <v>4000</v>
      </c>
      <c r="G346" s="88">
        <v>0</v>
      </c>
      <c r="H346" s="36">
        <f t="shared" si="100"/>
        <v>4000</v>
      </c>
      <c r="I346" s="36">
        <f t="shared" si="102"/>
        <v>413176</v>
      </c>
      <c r="J346" s="36">
        <f t="shared" si="102"/>
        <v>0</v>
      </c>
      <c r="K346" s="36">
        <f t="shared" si="102"/>
        <v>413176</v>
      </c>
    </row>
    <row r="347" spans="1:11" s="60" customFormat="1" ht="15" customHeight="1">
      <c r="A347" s="30" t="s">
        <v>23</v>
      </c>
      <c r="B347" s="31" t="s">
        <v>132</v>
      </c>
      <c r="C347" s="32">
        <v>8200</v>
      </c>
      <c r="D347" s="32">
        <v>0</v>
      </c>
      <c r="E347" s="26">
        <f>SUM(C347:D347)</f>
        <v>8200</v>
      </c>
      <c r="F347" s="32">
        <f>-1660</f>
        <v>-1660</v>
      </c>
      <c r="G347" s="32">
        <v>0</v>
      </c>
      <c r="H347" s="26">
        <f>F347+G347</f>
        <v>-1660</v>
      </c>
      <c r="I347" s="26">
        <f t="shared" si="102"/>
        <v>6540</v>
      </c>
      <c r="J347" s="26">
        <f t="shared" si="102"/>
        <v>0</v>
      </c>
      <c r="K347" s="26">
        <f>E347+H347</f>
        <v>6540</v>
      </c>
    </row>
    <row r="348" spans="1:11" s="60" customFormat="1" ht="15" customHeight="1">
      <c r="A348" s="30" t="s">
        <v>111</v>
      </c>
      <c r="B348" s="31" t="s">
        <v>203</v>
      </c>
      <c r="C348" s="32">
        <v>0</v>
      </c>
      <c r="D348" s="32">
        <v>0</v>
      </c>
      <c r="E348" s="26">
        <f>SUM(C348:D348)</f>
        <v>0</v>
      </c>
      <c r="F348" s="32">
        <v>1950</v>
      </c>
      <c r="G348" s="32">
        <v>0</v>
      </c>
      <c r="H348" s="26">
        <f>F348+G348</f>
        <v>1950</v>
      </c>
      <c r="I348" s="26">
        <f>C348+F348</f>
        <v>1950</v>
      </c>
      <c r="J348" s="26">
        <f>D348+G348</f>
        <v>0</v>
      </c>
      <c r="K348" s="26">
        <f>E348+H348</f>
        <v>1950</v>
      </c>
    </row>
    <row r="349" spans="1:11" s="28" customFormat="1" ht="15" customHeight="1">
      <c r="A349" s="27">
        <v>80140</v>
      </c>
      <c r="B349" s="28" t="s">
        <v>98</v>
      </c>
      <c r="C349" s="22">
        <v>1086443</v>
      </c>
      <c r="D349" s="22">
        <v>0</v>
      </c>
      <c r="E349" s="23">
        <f t="shared" si="99"/>
        <v>1086443</v>
      </c>
      <c r="F349" s="29">
        <f>SUM(F350:F350)</f>
        <v>4000</v>
      </c>
      <c r="G349" s="29">
        <f>SUM(G350:G350)</f>
        <v>0</v>
      </c>
      <c r="H349" s="23">
        <f t="shared" si="100"/>
        <v>4000</v>
      </c>
      <c r="I349" s="23">
        <f aca="true" t="shared" si="103" ref="I349:K373">C349+F349</f>
        <v>1090443</v>
      </c>
      <c r="J349" s="23">
        <f t="shared" si="103"/>
        <v>0</v>
      </c>
      <c r="K349" s="23">
        <f t="shared" si="103"/>
        <v>1090443</v>
      </c>
    </row>
    <row r="350" spans="1:11" s="34" customFormat="1" ht="13.5" customHeight="1">
      <c r="A350" s="33" t="s">
        <v>45</v>
      </c>
      <c r="B350" s="34" t="s">
        <v>168</v>
      </c>
      <c r="C350" s="35">
        <v>32590</v>
      </c>
      <c r="D350" s="35">
        <v>0</v>
      </c>
      <c r="E350" s="36">
        <f t="shared" si="99"/>
        <v>32590</v>
      </c>
      <c r="F350" s="37">
        <v>4000</v>
      </c>
      <c r="G350" s="37">
        <v>0</v>
      </c>
      <c r="H350" s="36">
        <f t="shared" si="100"/>
        <v>4000</v>
      </c>
      <c r="I350" s="36">
        <f t="shared" si="103"/>
        <v>36590</v>
      </c>
      <c r="J350" s="36">
        <f t="shared" si="103"/>
        <v>0</v>
      </c>
      <c r="K350" s="36">
        <f t="shared" si="103"/>
        <v>36590</v>
      </c>
    </row>
    <row r="351" spans="1:11" s="28" customFormat="1" ht="15" customHeight="1">
      <c r="A351" s="27">
        <v>80146</v>
      </c>
      <c r="B351" s="28" t="s">
        <v>92</v>
      </c>
      <c r="C351" s="22">
        <v>190058</v>
      </c>
      <c r="D351" s="22">
        <v>0</v>
      </c>
      <c r="E351" s="23">
        <f t="shared" si="99"/>
        <v>190058</v>
      </c>
      <c r="F351" s="29">
        <f>SUM(F352:F355)</f>
        <v>-895</v>
      </c>
      <c r="G351" s="29">
        <f>SUM(G352:G354)</f>
        <v>0</v>
      </c>
      <c r="H351" s="23">
        <f t="shared" si="100"/>
        <v>-895</v>
      </c>
      <c r="I351" s="23">
        <f t="shared" si="103"/>
        <v>189163</v>
      </c>
      <c r="J351" s="23">
        <f t="shared" si="103"/>
        <v>0</v>
      </c>
      <c r="K351" s="23">
        <f t="shared" si="103"/>
        <v>189163</v>
      </c>
    </row>
    <row r="352" spans="1:11" s="34" customFormat="1" ht="13.5" customHeight="1">
      <c r="A352" s="33" t="s">
        <v>36</v>
      </c>
      <c r="B352" s="34" t="s">
        <v>37</v>
      </c>
      <c r="C352" s="35">
        <v>98210</v>
      </c>
      <c r="D352" s="35">
        <v>0</v>
      </c>
      <c r="E352" s="36">
        <f t="shared" si="99"/>
        <v>98210</v>
      </c>
      <c r="F352" s="37">
        <v>671</v>
      </c>
      <c r="G352" s="37">
        <v>0</v>
      </c>
      <c r="H352" s="36">
        <f t="shared" si="100"/>
        <v>671</v>
      </c>
      <c r="I352" s="36">
        <f t="shared" si="103"/>
        <v>98881</v>
      </c>
      <c r="J352" s="36">
        <f t="shared" si="103"/>
        <v>0</v>
      </c>
      <c r="K352" s="36">
        <f t="shared" si="103"/>
        <v>98881</v>
      </c>
    </row>
    <row r="353" spans="1:11" s="39" customFormat="1" ht="13.5" customHeight="1">
      <c r="A353" s="33" t="s">
        <v>38</v>
      </c>
      <c r="B353" s="34" t="s">
        <v>39</v>
      </c>
      <c r="C353" s="37">
        <v>16886</v>
      </c>
      <c r="D353" s="37">
        <v>0</v>
      </c>
      <c r="E353" s="36">
        <f t="shared" si="99"/>
        <v>16886</v>
      </c>
      <c r="F353" s="37">
        <f>-634</f>
        <v>-634</v>
      </c>
      <c r="G353" s="37">
        <v>0</v>
      </c>
      <c r="H353" s="36">
        <f t="shared" si="100"/>
        <v>-634</v>
      </c>
      <c r="I353" s="36">
        <f t="shared" si="103"/>
        <v>16252</v>
      </c>
      <c r="J353" s="36">
        <f t="shared" si="103"/>
        <v>0</v>
      </c>
      <c r="K353" s="36">
        <f t="shared" si="103"/>
        <v>16252</v>
      </c>
    </row>
    <row r="354" spans="1:11" s="39" customFormat="1" ht="13.5" customHeight="1">
      <c r="A354" s="33" t="s">
        <v>42</v>
      </c>
      <c r="B354" s="34" t="s">
        <v>43</v>
      </c>
      <c r="C354" s="37">
        <v>2602</v>
      </c>
      <c r="D354" s="37">
        <v>0</v>
      </c>
      <c r="E354" s="36">
        <f t="shared" si="99"/>
        <v>2602</v>
      </c>
      <c r="F354" s="37">
        <f>-62</f>
        <v>-62</v>
      </c>
      <c r="G354" s="37">
        <v>0</v>
      </c>
      <c r="H354" s="36">
        <f t="shared" si="100"/>
        <v>-62</v>
      </c>
      <c r="I354" s="36">
        <f t="shared" si="103"/>
        <v>2540</v>
      </c>
      <c r="J354" s="36">
        <f t="shared" si="103"/>
        <v>0</v>
      </c>
      <c r="K354" s="36">
        <f t="shared" si="103"/>
        <v>2540</v>
      </c>
    </row>
    <row r="355" spans="1:11" s="84" customFormat="1" ht="15" customHeight="1">
      <c r="A355" s="83" t="s">
        <v>27</v>
      </c>
      <c r="B355" s="84" t="s">
        <v>28</v>
      </c>
      <c r="C355" s="85">
        <v>63980</v>
      </c>
      <c r="D355" s="85">
        <v>0</v>
      </c>
      <c r="E355" s="36">
        <f aca="true" t="shared" si="104" ref="E355:E374">SUM(C355:D355)</f>
        <v>63980</v>
      </c>
      <c r="F355" s="85">
        <f>-895+25</f>
        <v>-870</v>
      </c>
      <c r="G355" s="85">
        <v>0</v>
      </c>
      <c r="H355" s="36">
        <f t="shared" si="100"/>
        <v>-870</v>
      </c>
      <c r="I355" s="36">
        <f t="shared" si="103"/>
        <v>63110</v>
      </c>
      <c r="J355" s="36">
        <f t="shared" si="103"/>
        <v>0</v>
      </c>
      <c r="K355" s="36">
        <f t="shared" si="103"/>
        <v>63110</v>
      </c>
    </row>
    <row r="356" spans="1:11" s="80" customFormat="1" ht="15" customHeight="1">
      <c r="A356" s="126">
        <v>80195</v>
      </c>
      <c r="B356" s="127" t="s">
        <v>110</v>
      </c>
      <c r="C356" s="128">
        <v>216455</v>
      </c>
      <c r="D356" s="128">
        <v>2900</v>
      </c>
      <c r="E356" s="49">
        <f t="shared" si="104"/>
        <v>219355</v>
      </c>
      <c r="F356" s="128">
        <f>SUM(F357:F373)</f>
        <v>-11642</v>
      </c>
      <c r="G356" s="128">
        <f>SUM(G357:G373)</f>
        <v>11942</v>
      </c>
      <c r="H356" s="49">
        <f t="shared" si="100"/>
        <v>300</v>
      </c>
      <c r="I356" s="49">
        <f t="shared" si="103"/>
        <v>204813</v>
      </c>
      <c r="J356" s="49">
        <f t="shared" si="103"/>
        <v>14842</v>
      </c>
      <c r="K356" s="49">
        <f>SUM(E356+H356)</f>
        <v>219655</v>
      </c>
    </row>
    <row r="357" spans="1:11" s="84" customFormat="1" ht="15" customHeight="1">
      <c r="A357" s="86" t="s">
        <v>36</v>
      </c>
      <c r="B357" s="87" t="s">
        <v>159</v>
      </c>
      <c r="C357" s="88">
        <v>1910</v>
      </c>
      <c r="D357" s="88">
        <v>0</v>
      </c>
      <c r="E357" s="36">
        <f t="shared" si="104"/>
        <v>1910</v>
      </c>
      <c r="F357" s="88">
        <v>-1910</v>
      </c>
      <c r="G357" s="88">
        <v>0</v>
      </c>
      <c r="H357" s="36">
        <f t="shared" si="100"/>
        <v>-1910</v>
      </c>
      <c r="I357" s="36">
        <f t="shared" si="103"/>
        <v>0</v>
      </c>
      <c r="J357" s="36">
        <f t="shared" si="103"/>
        <v>0</v>
      </c>
      <c r="K357" s="36">
        <f>E357+H357</f>
        <v>0</v>
      </c>
    </row>
    <row r="358" spans="1:11" s="84" customFormat="1" ht="15" customHeight="1">
      <c r="A358" s="86" t="s">
        <v>205</v>
      </c>
      <c r="B358" s="87" t="s">
        <v>213</v>
      </c>
      <c r="C358" s="88">
        <v>0</v>
      </c>
      <c r="D358" s="88">
        <v>0</v>
      </c>
      <c r="E358" s="36">
        <f t="shared" si="104"/>
        <v>0</v>
      </c>
      <c r="F358" s="88">
        <v>0</v>
      </c>
      <c r="G358" s="88">
        <v>1910</v>
      </c>
      <c r="H358" s="36">
        <f>F358+G358</f>
        <v>1910</v>
      </c>
      <c r="I358" s="36">
        <f>C358+F358</f>
        <v>0</v>
      </c>
      <c r="J358" s="36">
        <f>D358+G358</f>
        <v>1910</v>
      </c>
      <c r="K358" s="36">
        <f>E358+H358</f>
        <v>1910</v>
      </c>
    </row>
    <row r="359" spans="1:11" s="84" customFormat="1" ht="15" customHeight="1">
      <c r="A359" s="86" t="s">
        <v>38</v>
      </c>
      <c r="B359" s="87" t="s">
        <v>39</v>
      </c>
      <c r="C359" s="88">
        <v>19572</v>
      </c>
      <c r="D359" s="88">
        <v>0</v>
      </c>
      <c r="E359" s="36">
        <f t="shared" si="104"/>
        <v>19572</v>
      </c>
      <c r="F359" s="88">
        <v>-332</v>
      </c>
      <c r="G359" s="88">
        <v>0</v>
      </c>
      <c r="H359" s="36">
        <f t="shared" si="100"/>
        <v>-332</v>
      </c>
      <c r="I359" s="36">
        <f t="shared" si="103"/>
        <v>19240</v>
      </c>
      <c r="J359" s="36">
        <f t="shared" si="103"/>
        <v>0</v>
      </c>
      <c r="K359" s="36">
        <f t="shared" si="103"/>
        <v>19240</v>
      </c>
    </row>
    <row r="360" spans="1:11" s="84" customFormat="1" ht="15" customHeight="1">
      <c r="A360" s="86" t="s">
        <v>206</v>
      </c>
      <c r="B360" s="87" t="s">
        <v>214</v>
      </c>
      <c r="C360" s="88">
        <v>0</v>
      </c>
      <c r="D360" s="88">
        <v>0</v>
      </c>
      <c r="E360" s="36">
        <f t="shared" si="104"/>
        <v>0</v>
      </c>
      <c r="F360" s="88">
        <v>0</v>
      </c>
      <c r="G360" s="88">
        <v>332</v>
      </c>
      <c r="H360" s="36">
        <f>F360+G360</f>
        <v>332</v>
      </c>
      <c r="I360" s="36">
        <f>C360+F360</f>
        <v>0</v>
      </c>
      <c r="J360" s="36">
        <f>D360+G360</f>
        <v>332</v>
      </c>
      <c r="K360" s="36">
        <f>E360+H360</f>
        <v>332</v>
      </c>
    </row>
    <row r="361" spans="1:11" s="84" customFormat="1" ht="15" customHeight="1">
      <c r="A361" s="86" t="s">
        <v>42</v>
      </c>
      <c r="B361" s="87" t="s">
        <v>43</v>
      </c>
      <c r="C361" s="88">
        <v>2807</v>
      </c>
      <c r="D361" s="88">
        <v>0</v>
      </c>
      <c r="E361" s="36">
        <f t="shared" si="104"/>
        <v>2807</v>
      </c>
      <c r="F361" s="88">
        <v>-47</v>
      </c>
      <c r="G361" s="88">
        <v>0</v>
      </c>
      <c r="H361" s="36">
        <f t="shared" si="100"/>
        <v>-47</v>
      </c>
      <c r="I361" s="36">
        <f t="shared" si="103"/>
        <v>2760</v>
      </c>
      <c r="J361" s="36">
        <f t="shared" si="103"/>
        <v>0</v>
      </c>
      <c r="K361" s="36">
        <f t="shared" si="103"/>
        <v>2760</v>
      </c>
    </row>
    <row r="362" spans="1:11" s="84" customFormat="1" ht="15" customHeight="1">
      <c r="A362" s="86" t="s">
        <v>229</v>
      </c>
      <c r="B362" s="87" t="s">
        <v>216</v>
      </c>
      <c r="C362" s="88">
        <v>0</v>
      </c>
      <c r="D362" s="88">
        <v>0</v>
      </c>
      <c r="E362" s="36">
        <f t="shared" si="104"/>
        <v>0</v>
      </c>
      <c r="F362" s="88">
        <v>0</v>
      </c>
      <c r="G362" s="88">
        <v>47</v>
      </c>
      <c r="H362" s="36">
        <f>F362+G362</f>
        <v>47</v>
      </c>
      <c r="I362" s="36">
        <f aca="true" t="shared" si="105" ref="I362:K363">C362+F362</f>
        <v>0</v>
      </c>
      <c r="J362" s="36">
        <f t="shared" si="105"/>
        <v>47</v>
      </c>
      <c r="K362" s="36">
        <f t="shared" si="105"/>
        <v>47</v>
      </c>
    </row>
    <row r="363" spans="1:11" s="84" customFormat="1" ht="15" customHeight="1">
      <c r="A363" s="86" t="s">
        <v>49</v>
      </c>
      <c r="B363" s="87" t="s">
        <v>50</v>
      </c>
      <c r="C363" s="88">
        <v>105750</v>
      </c>
      <c r="D363" s="88">
        <v>2600</v>
      </c>
      <c r="E363" s="36">
        <f t="shared" si="104"/>
        <v>108350</v>
      </c>
      <c r="F363" s="88">
        <v>0</v>
      </c>
      <c r="G363" s="88">
        <v>300</v>
      </c>
      <c r="H363" s="36">
        <f>SUM(F363:G363)</f>
        <v>300</v>
      </c>
      <c r="I363" s="36">
        <f t="shared" si="105"/>
        <v>105750</v>
      </c>
      <c r="J363" s="36">
        <f t="shared" si="105"/>
        <v>2900</v>
      </c>
      <c r="K363" s="36">
        <f t="shared" si="105"/>
        <v>108650</v>
      </c>
    </row>
    <row r="364" spans="1:11" s="84" customFormat="1" ht="15" customHeight="1">
      <c r="A364" s="86" t="s">
        <v>40</v>
      </c>
      <c r="B364" s="87" t="s">
        <v>41</v>
      </c>
      <c r="C364" s="88">
        <v>8270</v>
      </c>
      <c r="D364" s="88">
        <v>0</v>
      </c>
      <c r="E364" s="36">
        <f t="shared" si="104"/>
        <v>8270</v>
      </c>
      <c r="F364" s="88">
        <v>-8270</v>
      </c>
      <c r="G364" s="88">
        <v>0</v>
      </c>
      <c r="H364" s="36">
        <f t="shared" si="100"/>
        <v>-8270</v>
      </c>
      <c r="I364" s="36">
        <f t="shared" si="103"/>
        <v>0</v>
      </c>
      <c r="J364" s="36">
        <f t="shared" si="103"/>
        <v>0</v>
      </c>
      <c r="K364" s="36">
        <f t="shared" si="103"/>
        <v>0</v>
      </c>
    </row>
    <row r="365" spans="1:11" s="84" customFormat="1" ht="15" customHeight="1">
      <c r="A365" s="86" t="s">
        <v>209</v>
      </c>
      <c r="B365" s="87" t="s">
        <v>217</v>
      </c>
      <c r="C365" s="88">
        <v>0</v>
      </c>
      <c r="D365" s="88">
        <v>0</v>
      </c>
      <c r="E365" s="36">
        <f t="shared" si="104"/>
        <v>0</v>
      </c>
      <c r="F365" s="88">
        <v>0</v>
      </c>
      <c r="G365" s="88">
        <f>5946</f>
        <v>5946</v>
      </c>
      <c r="H365" s="36">
        <f>F365+G365</f>
        <v>5946</v>
      </c>
      <c r="I365" s="36">
        <f aca="true" t="shared" si="106" ref="I365:K366">C365+F365</f>
        <v>0</v>
      </c>
      <c r="J365" s="36">
        <f t="shared" si="106"/>
        <v>5946</v>
      </c>
      <c r="K365" s="36">
        <f t="shared" si="106"/>
        <v>5946</v>
      </c>
    </row>
    <row r="366" spans="1:11" s="84" customFormat="1" ht="15" customHeight="1">
      <c r="A366" s="86" t="s">
        <v>210</v>
      </c>
      <c r="B366" s="87" t="s">
        <v>219</v>
      </c>
      <c r="C366" s="88">
        <v>0</v>
      </c>
      <c r="D366" s="88">
        <v>0</v>
      </c>
      <c r="E366" s="36">
        <f t="shared" si="104"/>
        <v>0</v>
      </c>
      <c r="F366" s="88">
        <v>2324</v>
      </c>
      <c r="G366" s="88">
        <v>0</v>
      </c>
      <c r="H366" s="36">
        <f>F366+G366</f>
        <v>2324</v>
      </c>
      <c r="I366" s="36">
        <f t="shared" si="106"/>
        <v>2324</v>
      </c>
      <c r="J366" s="36">
        <f t="shared" si="106"/>
        <v>0</v>
      </c>
      <c r="K366" s="36">
        <f t="shared" si="106"/>
        <v>2324</v>
      </c>
    </row>
    <row r="367" spans="1:11" s="84" customFormat="1" ht="15" customHeight="1">
      <c r="A367" s="83" t="s">
        <v>27</v>
      </c>
      <c r="B367" s="84" t="s">
        <v>28</v>
      </c>
      <c r="C367" s="85">
        <v>7854</v>
      </c>
      <c r="D367" s="85">
        <v>300</v>
      </c>
      <c r="E367" s="36">
        <f t="shared" si="104"/>
        <v>8154</v>
      </c>
      <c r="F367" s="85">
        <v>-7854</v>
      </c>
      <c r="G367" s="85">
        <v>0</v>
      </c>
      <c r="H367" s="36">
        <f t="shared" si="100"/>
        <v>-7854</v>
      </c>
      <c r="I367" s="36">
        <f t="shared" si="103"/>
        <v>0</v>
      </c>
      <c r="J367" s="36">
        <f t="shared" si="103"/>
        <v>300</v>
      </c>
      <c r="K367" s="36">
        <f t="shared" si="103"/>
        <v>300</v>
      </c>
    </row>
    <row r="368" spans="1:11" s="84" customFormat="1" ht="15" customHeight="1">
      <c r="A368" s="83" t="s">
        <v>207</v>
      </c>
      <c r="B368" s="84" t="s">
        <v>218</v>
      </c>
      <c r="C368" s="85">
        <v>0</v>
      </c>
      <c r="D368" s="85">
        <v>0</v>
      </c>
      <c r="E368" s="36">
        <f t="shared" si="104"/>
        <v>0</v>
      </c>
      <c r="F368" s="85">
        <v>0</v>
      </c>
      <c r="G368" s="85">
        <v>3346</v>
      </c>
      <c r="H368" s="36">
        <f>F368+G368</f>
        <v>3346</v>
      </c>
      <c r="I368" s="36">
        <f aca="true" t="shared" si="107" ref="I368:K369">C368+F368</f>
        <v>0</v>
      </c>
      <c r="J368" s="36">
        <f t="shared" si="107"/>
        <v>3346</v>
      </c>
      <c r="K368" s="36">
        <f t="shared" si="107"/>
        <v>3346</v>
      </c>
    </row>
    <row r="369" spans="1:11" s="84" customFormat="1" ht="15" customHeight="1">
      <c r="A369" s="83" t="s">
        <v>211</v>
      </c>
      <c r="B369" s="84" t="s">
        <v>220</v>
      </c>
      <c r="C369" s="85">
        <v>0</v>
      </c>
      <c r="D369" s="85">
        <v>0</v>
      </c>
      <c r="E369" s="36">
        <f t="shared" si="104"/>
        <v>0</v>
      </c>
      <c r="F369" s="85">
        <v>4508</v>
      </c>
      <c r="G369" s="85">
        <v>0</v>
      </c>
      <c r="H369" s="36">
        <f>F369+G369</f>
        <v>4508</v>
      </c>
      <c r="I369" s="36">
        <f t="shared" si="107"/>
        <v>4508</v>
      </c>
      <c r="J369" s="36">
        <f t="shared" si="107"/>
        <v>0</v>
      </c>
      <c r="K369" s="36">
        <f t="shared" si="107"/>
        <v>4508</v>
      </c>
    </row>
    <row r="370" spans="1:11" s="90" customFormat="1" ht="15" customHeight="1">
      <c r="A370" s="123" t="s">
        <v>120</v>
      </c>
      <c r="B370" s="124" t="s">
        <v>121</v>
      </c>
      <c r="C370" s="125">
        <v>231</v>
      </c>
      <c r="D370" s="125">
        <v>0</v>
      </c>
      <c r="E370" s="26">
        <f t="shared" si="104"/>
        <v>231</v>
      </c>
      <c r="F370" s="125">
        <v>-231</v>
      </c>
      <c r="G370" s="125">
        <v>0</v>
      </c>
      <c r="H370" s="26">
        <f>F370+G370</f>
        <v>-231</v>
      </c>
      <c r="I370" s="26">
        <f t="shared" si="103"/>
        <v>0</v>
      </c>
      <c r="J370" s="26">
        <f t="shared" si="103"/>
        <v>0</v>
      </c>
      <c r="K370" s="26">
        <f t="shared" si="103"/>
        <v>0</v>
      </c>
    </row>
    <row r="371" spans="1:11" s="90" customFormat="1" ht="15" customHeight="1">
      <c r="A371" s="123" t="s">
        <v>212</v>
      </c>
      <c r="B371" s="124" t="s">
        <v>221</v>
      </c>
      <c r="C371" s="125">
        <v>0</v>
      </c>
      <c r="D371" s="125">
        <v>0</v>
      </c>
      <c r="E371" s="26">
        <f t="shared" si="104"/>
        <v>0</v>
      </c>
      <c r="F371" s="125">
        <v>231</v>
      </c>
      <c r="G371" s="125">
        <v>0</v>
      </c>
      <c r="H371" s="26">
        <f>F371+G371</f>
        <v>231</v>
      </c>
      <c r="I371" s="26">
        <f aca="true" t="shared" si="108" ref="I371:K372">C371+F371</f>
        <v>231</v>
      </c>
      <c r="J371" s="26">
        <f t="shared" si="108"/>
        <v>0</v>
      </c>
      <c r="K371" s="26">
        <f t="shared" si="108"/>
        <v>231</v>
      </c>
    </row>
    <row r="372" spans="1:11" s="90" customFormat="1" ht="15" customHeight="1">
      <c r="A372" s="89" t="s">
        <v>29</v>
      </c>
      <c r="B372" s="90" t="s">
        <v>30</v>
      </c>
      <c r="C372" s="91">
        <v>61</v>
      </c>
      <c r="D372" s="91">
        <v>0</v>
      </c>
      <c r="E372" s="26">
        <f t="shared" si="104"/>
        <v>61</v>
      </c>
      <c r="F372" s="91">
        <v>-61</v>
      </c>
      <c r="G372" s="91">
        <v>0</v>
      </c>
      <c r="H372" s="26">
        <f>F372+G372</f>
        <v>-61</v>
      </c>
      <c r="I372" s="26">
        <f t="shared" si="108"/>
        <v>0</v>
      </c>
      <c r="J372" s="26">
        <f t="shared" si="108"/>
        <v>0</v>
      </c>
      <c r="K372" s="26">
        <f t="shared" si="108"/>
        <v>0</v>
      </c>
    </row>
    <row r="373" spans="1:11" s="130" customFormat="1" ht="15" customHeight="1">
      <c r="A373" s="129" t="s">
        <v>208</v>
      </c>
      <c r="B373" s="130" t="s">
        <v>215</v>
      </c>
      <c r="C373" s="131">
        <v>0</v>
      </c>
      <c r="D373" s="131">
        <v>0</v>
      </c>
      <c r="E373" s="59">
        <f t="shared" si="104"/>
        <v>0</v>
      </c>
      <c r="F373" s="131">
        <v>0</v>
      </c>
      <c r="G373" s="131">
        <v>61</v>
      </c>
      <c r="H373" s="59">
        <f t="shared" si="100"/>
        <v>61</v>
      </c>
      <c r="I373" s="59">
        <f t="shared" si="103"/>
        <v>0</v>
      </c>
      <c r="J373" s="59">
        <f t="shared" si="103"/>
        <v>61</v>
      </c>
      <c r="K373" s="59">
        <f t="shared" si="103"/>
        <v>61</v>
      </c>
    </row>
    <row r="374" spans="1:11" s="6" customFormat="1" ht="15" customHeight="1">
      <c r="A374" s="2" t="s">
        <v>57</v>
      </c>
      <c r="B374" s="13" t="s">
        <v>79</v>
      </c>
      <c r="C374" s="14">
        <v>7019886</v>
      </c>
      <c r="D374" s="14">
        <v>1848770</v>
      </c>
      <c r="E374" s="5">
        <f t="shared" si="104"/>
        <v>8868656</v>
      </c>
      <c r="F374" s="14">
        <f>F377+F383+F399+F401+F406</f>
        <v>-29113</v>
      </c>
      <c r="G374" s="14">
        <f>G377+G383+G399+G401+G406</f>
        <v>0</v>
      </c>
      <c r="H374" s="5">
        <f>F374+G374</f>
        <v>-29113</v>
      </c>
      <c r="I374" s="5">
        <f>C374+F374</f>
        <v>6990773</v>
      </c>
      <c r="J374" s="5">
        <f>D374+G374</f>
        <v>1848770</v>
      </c>
      <c r="K374" s="5">
        <f>E374+H374</f>
        <v>8839543</v>
      </c>
    </row>
    <row r="375" spans="1:11" s="9" customFormat="1" ht="15" customHeight="1">
      <c r="A375" s="15"/>
      <c r="B375" s="16" t="s">
        <v>12</v>
      </c>
      <c r="C375" s="17"/>
      <c r="D375" s="17"/>
      <c r="E375" s="8"/>
      <c r="F375" s="17"/>
      <c r="G375" s="17"/>
      <c r="H375" s="8"/>
      <c r="I375" s="8"/>
      <c r="J375" s="8"/>
      <c r="K375" s="8"/>
    </row>
    <row r="376" spans="1:11" s="12" customFormat="1" ht="15" customHeight="1">
      <c r="A376" s="18"/>
      <c r="B376" s="19" t="s">
        <v>13</v>
      </c>
      <c r="C376" s="20">
        <v>280864</v>
      </c>
      <c r="D376" s="20">
        <v>89136</v>
      </c>
      <c r="E376" s="11">
        <f>SUM(C376:D376)</f>
        <v>370000</v>
      </c>
      <c r="F376" s="20">
        <f>F397+F398</f>
        <v>-93191</v>
      </c>
      <c r="G376" s="20">
        <v>0</v>
      </c>
      <c r="H376" s="11">
        <f aca="true" t="shared" si="109" ref="H376:H400">F376+G376</f>
        <v>-93191</v>
      </c>
      <c r="I376" s="11">
        <f>C376+F376</f>
        <v>187673</v>
      </c>
      <c r="J376" s="11">
        <f>D376+G376</f>
        <v>89136</v>
      </c>
      <c r="K376" s="11">
        <f>E376+H376</f>
        <v>276809</v>
      </c>
    </row>
    <row r="377" spans="1:11" s="28" customFormat="1" ht="15" customHeight="1">
      <c r="A377" s="27">
        <v>85201</v>
      </c>
      <c r="B377" s="28" t="s">
        <v>95</v>
      </c>
      <c r="C377" s="22">
        <v>3894396</v>
      </c>
      <c r="D377" s="22">
        <v>89136</v>
      </c>
      <c r="E377" s="23">
        <f>SUM(C377:D377)</f>
        <v>3983532</v>
      </c>
      <c r="F377" s="29">
        <f>SUM(F378:F382)</f>
        <v>-15613</v>
      </c>
      <c r="G377" s="29">
        <f>SUM(G379)</f>
        <v>0</v>
      </c>
      <c r="H377" s="23">
        <f t="shared" si="109"/>
        <v>-15613</v>
      </c>
      <c r="I377" s="23">
        <f aca="true" t="shared" si="110" ref="I377:K382">C377+F377</f>
        <v>3878783</v>
      </c>
      <c r="J377" s="23">
        <f t="shared" si="110"/>
        <v>89136</v>
      </c>
      <c r="K377" s="23">
        <f t="shared" si="110"/>
        <v>3967919</v>
      </c>
    </row>
    <row r="378" spans="1:11" s="39" customFormat="1" ht="15" customHeight="1">
      <c r="A378" s="33" t="s">
        <v>154</v>
      </c>
      <c r="B378" s="34" t="s">
        <v>155</v>
      </c>
      <c r="C378" s="37">
        <v>226063</v>
      </c>
      <c r="D378" s="37">
        <v>0</v>
      </c>
      <c r="E378" s="36">
        <f>SUM(C378:D378)</f>
        <v>226063</v>
      </c>
      <c r="F378" s="37">
        <v>-7063</v>
      </c>
      <c r="G378" s="37">
        <v>0</v>
      </c>
      <c r="H378" s="36">
        <f t="shared" si="109"/>
        <v>-7063</v>
      </c>
      <c r="I378" s="36">
        <f t="shared" si="110"/>
        <v>219000</v>
      </c>
      <c r="J378" s="36">
        <f t="shared" si="110"/>
        <v>0</v>
      </c>
      <c r="K378" s="36">
        <f t="shared" si="110"/>
        <v>219000</v>
      </c>
    </row>
    <row r="379" spans="1:11" s="31" customFormat="1" ht="15" customHeight="1">
      <c r="A379" s="30" t="s">
        <v>96</v>
      </c>
      <c r="B379" s="31" t="s">
        <v>97</v>
      </c>
      <c r="C379" s="25">
        <v>166163</v>
      </c>
      <c r="D379" s="25">
        <v>0</v>
      </c>
      <c r="E379" s="26">
        <f>SUM(C379:D379)</f>
        <v>166163</v>
      </c>
      <c r="F379" s="32">
        <v>-10000</v>
      </c>
      <c r="G379" s="32">
        <v>0</v>
      </c>
      <c r="H379" s="26">
        <f t="shared" si="109"/>
        <v>-10000</v>
      </c>
      <c r="I379" s="26">
        <f t="shared" si="110"/>
        <v>156163</v>
      </c>
      <c r="J379" s="26">
        <f t="shared" si="110"/>
        <v>0</v>
      </c>
      <c r="K379" s="26">
        <f t="shared" si="110"/>
        <v>156163</v>
      </c>
    </row>
    <row r="380" spans="1:11" s="31" customFormat="1" ht="15" customHeight="1">
      <c r="A380" s="30" t="s">
        <v>38</v>
      </c>
      <c r="B380" s="31" t="s">
        <v>39</v>
      </c>
      <c r="C380" s="25">
        <v>271012</v>
      </c>
      <c r="D380" s="25">
        <v>0</v>
      </c>
      <c r="E380" s="26">
        <f>SUM(C380:D380)</f>
        <v>271012</v>
      </c>
      <c r="F380" s="32">
        <v>1900</v>
      </c>
      <c r="G380" s="32">
        <v>0</v>
      </c>
      <c r="H380" s="26">
        <f t="shared" si="109"/>
        <v>1900</v>
      </c>
      <c r="I380" s="26">
        <f t="shared" si="110"/>
        <v>272912</v>
      </c>
      <c r="J380" s="26">
        <f t="shared" si="110"/>
        <v>0</v>
      </c>
      <c r="K380" s="26">
        <f t="shared" si="110"/>
        <v>272912</v>
      </c>
    </row>
    <row r="381" spans="1:11" s="50" customFormat="1" ht="15" customHeight="1">
      <c r="A381" s="33" t="s">
        <v>21</v>
      </c>
      <c r="B381" s="34" t="s">
        <v>22</v>
      </c>
      <c r="C381" s="35">
        <v>92680</v>
      </c>
      <c r="D381" s="35">
        <v>0</v>
      </c>
      <c r="E381" s="36">
        <f aca="true" t="shared" si="111" ref="E381:E400">SUM(C381:D381)</f>
        <v>92680</v>
      </c>
      <c r="F381" s="37">
        <v>25</v>
      </c>
      <c r="G381" s="37">
        <v>0</v>
      </c>
      <c r="H381" s="36">
        <f>F381+G381</f>
        <v>25</v>
      </c>
      <c r="I381" s="36">
        <f t="shared" si="110"/>
        <v>92705</v>
      </c>
      <c r="J381" s="36">
        <f t="shared" si="110"/>
        <v>0</v>
      </c>
      <c r="K381" s="36">
        <f t="shared" si="110"/>
        <v>92705</v>
      </c>
    </row>
    <row r="382" spans="1:11" s="50" customFormat="1" ht="15" customHeight="1">
      <c r="A382" s="33" t="s">
        <v>27</v>
      </c>
      <c r="B382" s="38" t="s">
        <v>28</v>
      </c>
      <c r="C382" s="35">
        <v>544897</v>
      </c>
      <c r="D382" s="35">
        <v>0</v>
      </c>
      <c r="E382" s="36">
        <f t="shared" si="111"/>
        <v>544897</v>
      </c>
      <c r="F382" s="37">
        <v>-475</v>
      </c>
      <c r="G382" s="37">
        <v>0</v>
      </c>
      <c r="H382" s="36">
        <f>F382+G382</f>
        <v>-475</v>
      </c>
      <c r="I382" s="36">
        <f t="shared" si="110"/>
        <v>544422</v>
      </c>
      <c r="J382" s="36">
        <f t="shared" si="110"/>
        <v>0</v>
      </c>
      <c r="K382" s="36">
        <f t="shared" si="110"/>
        <v>544422</v>
      </c>
    </row>
    <row r="383" spans="1:11" s="55" customFormat="1" ht="15" customHeight="1">
      <c r="A383" s="46">
        <v>85202</v>
      </c>
      <c r="B383" s="47" t="s">
        <v>80</v>
      </c>
      <c r="C383" s="48">
        <v>939518</v>
      </c>
      <c r="D383" s="48">
        <v>1737880</v>
      </c>
      <c r="E383" s="49">
        <f t="shared" si="111"/>
        <v>2677398</v>
      </c>
      <c r="F383" s="48">
        <f>SUM(F384:F398)</f>
        <v>-5000</v>
      </c>
      <c r="G383" s="48">
        <f>SUM(G386:G398)</f>
        <v>0</v>
      </c>
      <c r="H383" s="49">
        <f t="shared" si="109"/>
        <v>-5000</v>
      </c>
      <c r="I383" s="49">
        <f aca="true" t="shared" si="112" ref="I383:K396">C383+F383</f>
        <v>934518</v>
      </c>
      <c r="J383" s="49">
        <f t="shared" si="112"/>
        <v>1737880</v>
      </c>
      <c r="K383" s="49">
        <f>SUM(E383+H383)</f>
        <v>2672398</v>
      </c>
    </row>
    <row r="384" spans="1:11" s="39" customFormat="1" ht="13.5" customHeight="1">
      <c r="A384" s="33" t="s">
        <v>38</v>
      </c>
      <c r="B384" s="34" t="s">
        <v>39</v>
      </c>
      <c r="C384" s="37">
        <v>50000</v>
      </c>
      <c r="D384" s="37">
        <v>190700</v>
      </c>
      <c r="E384" s="36">
        <f t="shared" si="111"/>
        <v>240700</v>
      </c>
      <c r="F384" s="37">
        <v>14500</v>
      </c>
      <c r="G384" s="37">
        <v>0</v>
      </c>
      <c r="H384" s="36">
        <f t="shared" si="109"/>
        <v>14500</v>
      </c>
      <c r="I384" s="36">
        <f t="shared" si="112"/>
        <v>64500</v>
      </c>
      <c r="J384" s="36">
        <f t="shared" si="112"/>
        <v>190700</v>
      </c>
      <c r="K384" s="36">
        <f>E384+H384</f>
        <v>255200</v>
      </c>
    </row>
    <row r="385" spans="1:11" s="39" customFormat="1" ht="13.5" customHeight="1">
      <c r="A385" s="33" t="s">
        <v>42</v>
      </c>
      <c r="B385" s="34" t="s">
        <v>43</v>
      </c>
      <c r="C385" s="37">
        <v>5000</v>
      </c>
      <c r="D385" s="37">
        <v>26600</v>
      </c>
      <c r="E385" s="36">
        <f t="shared" si="111"/>
        <v>31600</v>
      </c>
      <c r="F385" s="37">
        <v>3800</v>
      </c>
      <c r="G385" s="37">
        <v>0</v>
      </c>
      <c r="H385" s="36">
        <f t="shared" si="109"/>
        <v>3800</v>
      </c>
      <c r="I385" s="36">
        <f t="shared" si="112"/>
        <v>8800</v>
      </c>
      <c r="J385" s="36">
        <f t="shared" si="112"/>
        <v>26600</v>
      </c>
      <c r="K385" s="36">
        <f>E385+H385</f>
        <v>35400</v>
      </c>
    </row>
    <row r="386" spans="1:11" s="50" customFormat="1" ht="15" customHeight="1">
      <c r="A386" s="33" t="s">
        <v>49</v>
      </c>
      <c r="B386" s="34" t="s">
        <v>50</v>
      </c>
      <c r="C386" s="35">
        <v>1000</v>
      </c>
      <c r="D386" s="35">
        <v>11000</v>
      </c>
      <c r="E386" s="36">
        <f t="shared" si="111"/>
        <v>12000</v>
      </c>
      <c r="F386" s="37">
        <v>-760</v>
      </c>
      <c r="G386" s="37">
        <v>0</v>
      </c>
      <c r="H386" s="36">
        <f t="shared" si="109"/>
        <v>-760</v>
      </c>
      <c r="I386" s="36">
        <f t="shared" si="112"/>
        <v>240</v>
      </c>
      <c r="J386" s="36">
        <f t="shared" si="112"/>
        <v>11000</v>
      </c>
      <c r="K386" s="36">
        <f t="shared" si="112"/>
        <v>11240</v>
      </c>
    </row>
    <row r="387" spans="1:11" s="31" customFormat="1" ht="15" customHeight="1">
      <c r="A387" s="30" t="s">
        <v>40</v>
      </c>
      <c r="B387" s="31" t="s">
        <v>41</v>
      </c>
      <c r="C387" s="25">
        <v>22507</v>
      </c>
      <c r="D387" s="25">
        <v>29000</v>
      </c>
      <c r="E387" s="26">
        <f t="shared" si="111"/>
        <v>51507</v>
      </c>
      <c r="F387" s="32">
        <v>1000</v>
      </c>
      <c r="G387" s="32">
        <v>0</v>
      </c>
      <c r="H387" s="26">
        <f>F387+G387</f>
        <v>1000</v>
      </c>
      <c r="I387" s="26">
        <f>C387+F387</f>
        <v>23507</v>
      </c>
      <c r="J387" s="26">
        <f>D387+G387</f>
        <v>29000</v>
      </c>
      <c r="K387" s="26">
        <f>E387+H387</f>
        <v>52507</v>
      </c>
    </row>
    <row r="388" spans="1:11" s="50" customFormat="1" ht="15" customHeight="1">
      <c r="A388" s="33" t="s">
        <v>55</v>
      </c>
      <c r="B388" s="34" t="s">
        <v>56</v>
      </c>
      <c r="C388" s="35">
        <v>100988</v>
      </c>
      <c r="D388" s="35">
        <v>143460</v>
      </c>
      <c r="E388" s="36">
        <f t="shared" si="111"/>
        <v>244448</v>
      </c>
      <c r="F388" s="37">
        <v>12730</v>
      </c>
      <c r="G388" s="37">
        <v>0</v>
      </c>
      <c r="H388" s="36">
        <f>F388+G388</f>
        <v>12730</v>
      </c>
      <c r="I388" s="36">
        <f t="shared" si="112"/>
        <v>113718</v>
      </c>
      <c r="J388" s="36">
        <f t="shared" si="112"/>
        <v>143460</v>
      </c>
      <c r="K388" s="36">
        <f t="shared" si="112"/>
        <v>257178</v>
      </c>
    </row>
    <row r="389" spans="1:11" s="50" customFormat="1" ht="15" customHeight="1">
      <c r="A389" s="33" t="s">
        <v>93</v>
      </c>
      <c r="B389" s="38" t="s">
        <v>94</v>
      </c>
      <c r="C389" s="35">
        <v>4431</v>
      </c>
      <c r="D389" s="35">
        <v>3569</v>
      </c>
      <c r="E389" s="36">
        <f t="shared" si="111"/>
        <v>8000</v>
      </c>
      <c r="F389" s="37">
        <v>-500</v>
      </c>
      <c r="G389" s="37">
        <v>0</v>
      </c>
      <c r="H389" s="36">
        <f>F389+G389</f>
        <v>-500</v>
      </c>
      <c r="I389" s="36">
        <f t="shared" si="112"/>
        <v>3931</v>
      </c>
      <c r="J389" s="36">
        <f t="shared" si="112"/>
        <v>3569</v>
      </c>
      <c r="K389" s="36">
        <f t="shared" si="112"/>
        <v>7500</v>
      </c>
    </row>
    <row r="390" spans="1:11" s="50" customFormat="1" ht="15" customHeight="1">
      <c r="A390" s="33" t="s">
        <v>21</v>
      </c>
      <c r="B390" s="34" t="s">
        <v>22</v>
      </c>
      <c r="C390" s="35">
        <v>69500</v>
      </c>
      <c r="D390" s="35">
        <v>155500</v>
      </c>
      <c r="E390" s="36">
        <f t="shared" si="111"/>
        <v>225000</v>
      </c>
      <c r="F390" s="37">
        <v>27000</v>
      </c>
      <c r="G390" s="37">
        <v>0</v>
      </c>
      <c r="H390" s="36">
        <f>F390+G390</f>
        <v>27000</v>
      </c>
      <c r="I390" s="36">
        <f t="shared" si="112"/>
        <v>96500</v>
      </c>
      <c r="J390" s="36">
        <f t="shared" si="112"/>
        <v>155500</v>
      </c>
      <c r="K390" s="36">
        <f t="shared" si="112"/>
        <v>252000</v>
      </c>
    </row>
    <row r="391" spans="1:11" s="50" customFormat="1" ht="15" customHeight="1">
      <c r="A391" s="33" t="s">
        <v>18</v>
      </c>
      <c r="B391" s="34" t="s">
        <v>19</v>
      </c>
      <c r="C391" s="35">
        <v>75000</v>
      </c>
      <c r="D391" s="35">
        <v>15000</v>
      </c>
      <c r="E391" s="36">
        <f t="shared" si="111"/>
        <v>90000</v>
      </c>
      <c r="F391" s="37">
        <v>35589</v>
      </c>
      <c r="G391" s="37">
        <v>0</v>
      </c>
      <c r="H391" s="36">
        <f t="shared" si="109"/>
        <v>35589</v>
      </c>
      <c r="I391" s="36">
        <f t="shared" si="112"/>
        <v>110589</v>
      </c>
      <c r="J391" s="36">
        <f t="shared" si="112"/>
        <v>15000</v>
      </c>
      <c r="K391" s="36">
        <f t="shared" si="112"/>
        <v>125589</v>
      </c>
    </row>
    <row r="392" spans="1:11" s="50" customFormat="1" ht="15" customHeight="1">
      <c r="A392" s="33" t="s">
        <v>27</v>
      </c>
      <c r="B392" s="38" t="s">
        <v>28</v>
      </c>
      <c r="C392" s="35">
        <v>10850</v>
      </c>
      <c r="D392" s="35">
        <v>33150</v>
      </c>
      <c r="E392" s="36">
        <f t="shared" si="111"/>
        <v>44000</v>
      </c>
      <c r="F392" s="37">
        <v>-6000</v>
      </c>
      <c r="G392" s="37">
        <v>0</v>
      </c>
      <c r="H392" s="36">
        <f t="shared" si="109"/>
        <v>-6000</v>
      </c>
      <c r="I392" s="36">
        <f t="shared" si="112"/>
        <v>4850</v>
      </c>
      <c r="J392" s="36">
        <f t="shared" si="112"/>
        <v>33150</v>
      </c>
      <c r="K392" s="36">
        <f t="shared" si="112"/>
        <v>38000</v>
      </c>
    </row>
    <row r="393" spans="1:11" s="60" customFormat="1" ht="15" customHeight="1">
      <c r="A393" s="30" t="s">
        <v>130</v>
      </c>
      <c r="B393" s="31" t="s">
        <v>131</v>
      </c>
      <c r="C393" s="32">
        <v>22</v>
      </c>
      <c r="D393" s="32">
        <v>850</v>
      </c>
      <c r="E393" s="26">
        <f t="shared" si="111"/>
        <v>872</v>
      </c>
      <c r="F393" s="32">
        <v>59</v>
      </c>
      <c r="G393" s="32">
        <v>0</v>
      </c>
      <c r="H393" s="26">
        <f t="shared" si="109"/>
        <v>59</v>
      </c>
      <c r="I393" s="26">
        <f t="shared" si="112"/>
        <v>81</v>
      </c>
      <c r="J393" s="26">
        <f t="shared" si="112"/>
        <v>850</v>
      </c>
      <c r="K393" s="26">
        <f>E393+H393</f>
        <v>931</v>
      </c>
    </row>
    <row r="394" spans="1:11" s="60" customFormat="1" ht="15" customHeight="1">
      <c r="A394" s="30" t="s">
        <v>120</v>
      </c>
      <c r="B394" s="31" t="s">
        <v>121</v>
      </c>
      <c r="C394" s="32">
        <v>100</v>
      </c>
      <c r="D394" s="32">
        <v>100</v>
      </c>
      <c r="E394" s="26">
        <f t="shared" si="111"/>
        <v>200</v>
      </c>
      <c r="F394" s="32">
        <v>-51</v>
      </c>
      <c r="G394" s="32">
        <v>0</v>
      </c>
      <c r="H394" s="26">
        <f t="shared" si="109"/>
        <v>-51</v>
      </c>
      <c r="I394" s="26">
        <f t="shared" si="112"/>
        <v>49</v>
      </c>
      <c r="J394" s="26">
        <f t="shared" si="112"/>
        <v>100</v>
      </c>
      <c r="K394" s="26">
        <f>E394+H394</f>
        <v>149</v>
      </c>
    </row>
    <row r="395" spans="1:11" s="60" customFormat="1" ht="15" customHeight="1">
      <c r="A395" s="30" t="s">
        <v>23</v>
      </c>
      <c r="B395" s="31" t="s">
        <v>132</v>
      </c>
      <c r="C395" s="32">
        <v>100</v>
      </c>
      <c r="D395" s="32">
        <v>100</v>
      </c>
      <c r="E395" s="26">
        <f t="shared" si="111"/>
        <v>200</v>
      </c>
      <c r="F395" s="32">
        <v>-86</v>
      </c>
      <c r="G395" s="32">
        <v>0</v>
      </c>
      <c r="H395" s="26">
        <f>F395+G395</f>
        <v>-86</v>
      </c>
      <c r="I395" s="26">
        <f t="shared" si="112"/>
        <v>14</v>
      </c>
      <c r="J395" s="26">
        <f t="shared" si="112"/>
        <v>100</v>
      </c>
      <c r="K395" s="26">
        <f t="shared" si="112"/>
        <v>114</v>
      </c>
    </row>
    <row r="396" spans="1:11" s="60" customFormat="1" ht="15" customHeight="1">
      <c r="A396" s="30" t="s">
        <v>29</v>
      </c>
      <c r="B396" s="31" t="s">
        <v>30</v>
      </c>
      <c r="C396" s="32">
        <v>17840</v>
      </c>
      <c r="D396" s="32">
        <v>38229</v>
      </c>
      <c r="E396" s="26">
        <f t="shared" si="111"/>
        <v>56069</v>
      </c>
      <c r="F396" s="32">
        <v>910</v>
      </c>
      <c r="G396" s="32">
        <v>0</v>
      </c>
      <c r="H396" s="26">
        <f>F396+G396</f>
        <v>910</v>
      </c>
      <c r="I396" s="26">
        <f t="shared" si="112"/>
        <v>18750</v>
      </c>
      <c r="J396" s="26">
        <f t="shared" si="112"/>
        <v>38229</v>
      </c>
      <c r="K396" s="26">
        <f t="shared" si="112"/>
        <v>56979</v>
      </c>
    </row>
    <row r="397" spans="1:11" s="50" customFormat="1" ht="15" customHeight="1">
      <c r="A397" s="33" t="s">
        <v>112</v>
      </c>
      <c r="B397" s="34" t="s">
        <v>113</v>
      </c>
      <c r="C397" s="35">
        <v>46000</v>
      </c>
      <c r="D397" s="35">
        <v>0</v>
      </c>
      <c r="E397" s="36">
        <f t="shared" si="111"/>
        <v>46000</v>
      </c>
      <c r="F397" s="37">
        <v>5809</v>
      </c>
      <c r="G397" s="37">
        <v>0</v>
      </c>
      <c r="H397" s="36">
        <f>F397+G397</f>
        <v>5809</v>
      </c>
      <c r="I397" s="36">
        <f aca="true" t="shared" si="113" ref="I397:K400">C397+F397</f>
        <v>51809</v>
      </c>
      <c r="J397" s="36">
        <f t="shared" si="113"/>
        <v>0</v>
      </c>
      <c r="K397" s="36">
        <f t="shared" si="113"/>
        <v>51809</v>
      </c>
    </row>
    <row r="398" spans="1:11" s="53" customFormat="1" ht="15" customHeight="1">
      <c r="A398" s="51" t="s">
        <v>116</v>
      </c>
      <c r="B398" s="52" t="s">
        <v>117</v>
      </c>
      <c r="C398" s="43">
        <v>99000</v>
      </c>
      <c r="D398" s="43">
        <v>0</v>
      </c>
      <c r="E398" s="44">
        <f t="shared" si="111"/>
        <v>99000</v>
      </c>
      <c r="F398" s="45">
        <v>-99000</v>
      </c>
      <c r="G398" s="45">
        <v>0</v>
      </c>
      <c r="H398" s="44">
        <f t="shared" si="109"/>
        <v>-99000</v>
      </c>
      <c r="I398" s="44">
        <f t="shared" si="113"/>
        <v>0</v>
      </c>
      <c r="J398" s="44">
        <f t="shared" si="113"/>
        <v>0</v>
      </c>
      <c r="K398" s="44">
        <f t="shared" si="113"/>
        <v>0</v>
      </c>
    </row>
    <row r="399" spans="1:11" s="93" customFormat="1" ht="15" customHeight="1">
      <c r="A399" s="92">
        <v>85204</v>
      </c>
      <c r="B399" s="93" t="s">
        <v>143</v>
      </c>
      <c r="C399" s="94">
        <v>1720000</v>
      </c>
      <c r="D399" s="94">
        <v>0</v>
      </c>
      <c r="E399" s="23">
        <f t="shared" si="111"/>
        <v>1720000</v>
      </c>
      <c r="F399" s="95">
        <f>SUM(F400:F400)</f>
        <v>-15000</v>
      </c>
      <c r="G399" s="95">
        <f>SUM(G400:G400)</f>
        <v>0</v>
      </c>
      <c r="H399" s="23">
        <f t="shared" si="109"/>
        <v>-15000</v>
      </c>
      <c r="I399" s="23">
        <f t="shared" si="113"/>
        <v>1705000</v>
      </c>
      <c r="J399" s="23">
        <f t="shared" si="113"/>
        <v>0</v>
      </c>
      <c r="K399" s="23">
        <f t="shared" si="113"/>
        <v>1705000</v>
      </c>
    </row>
    <row r="400" spans="1:11" s="87" customFormat="1" ht="15" customHeight="1">
      <c r="A400" s="86" t="s">
        <v>96</v>
      </c>
      <c r="B400" s="87" t="s">
        <v>140</v>
      </c>
      <c r="C400" s="85">
        <v>1693750</v>
      </c>
      <c r="D400" s="85">
        <v>0</v>
      </c>
      <c r="E400" s="36">
        <f t="shared" si="111"/>
        <v>1693750</v>
      </c>
      <c r="F400" s="88">
        <v>-15000</v>
      </c>
      <c r="G400" s="88">
        <v>0</v>
      </c>
      <c r="H400" s="36">
        <f t="shared" si="109"/>
        <v>-15000</v>
      </c>
      <c r="I400" s="36">
        <f t="shared" si="113"/>
        <v>1678750</v>
      </c>
      <c r="J400" s="36">
        <f t="shared" si="113"/>
        <v>0</v>
      </c>
      <c r="K400" s="36">
        <f t="shared" si="113"/>
        <v>1678750</v>
      </c>
    </row>
    <row r="401" spans="1:11" s="28" customFormat="1" ht="15" customHeight="1">
      <c r="A401" s="27">
        <v>85220</v>
      </c>
      <c r="B401" s="28" t="s">
        <v>184</v>
      </c>
      <c r="C401" s="22">
        <v>0</v>
      </c>
      <c r="D401" s="22">
        <v>15000</v>
      </c>
      <c r="E401" s="23">
        <f aca="true" t="shared" si="114" ref="E401:E408">SUM(C401:D401)</f>
        <v>15000</v>
      </c>
      <c r="F401" s="29">
        <f>SUM(F404:F405)</f>
        <v>0</v>
      </c>
      <c r="G401" s="29">
        <f>SUM(G402:G405)</f>
        <v>0</v>
      </c>
      <c r="H401" s="23">
        <f aca="true" t="shared" si="115" ref="H401:H408">F401+G401</f>
        <v>0</v>
      </c>
      <c r="I401" s="23">
        <f aca="true" t="shared" si="116" ref="I401:K407">C401+F401</f>
        <v>0</v>
      </c>
      <c r="J401" s="23">
        <f t="shared" si="116"/>
        <v>15000</v>
      </c>
      <c r="K401" s="23">
        <f t="shared" si="116"/>
        <v>15000</v>
      </c>
    </row>
    <row r="402" spans="1:11" s="39" customFormat="1" ht="13.5" customHeight="1">
      <c r="A402" s="33" t="s">
        <v>38</v>
      </c>
      <c r="B402" s="34" t="s">
        <v>39</v>
      </c>
      <c r="C402" s="37">
        <v>0</v>
      </c>
      <c r="D402" s="37">
        <v>0</v>
      </c>
      <c r="E402" s="36">
        <f t="shared" si="114"/>
        <v>0</v>
      </c>
      <c r="F402" s="37">
        <v>0</v>
      </c>
      <c r="G402" s="37">
        <v>700</v>
      </c>
      <c r="H402" s="36">
        <f t="shared" si="115"/>
        <v>700</v>
      </c>
      <c r="I402" s="36">
        <f t="shared" si="116"/>
        <v>0</v>
      </c>
      <c r="J402" s="36">
        <f t="shared" si="116"/>
        <v>700</v>
      </c>
      <c r="K402" s="36">
        <f t="shared" si="116"/>
        <v>700</v>
      </c>
    </row>
    <row r="403" spans="1:11" s="39" customFormat="1" ht="13.5" customHeight="1">
      <c r="A403" s="33" t="s">
        <v>42</v>
      </c>
      <c r="B403" s="34" t="s">
        <v>43</v>
      </c>
      <c r="C403" s="37">
        <v>0</v>
      </c>
      <c r="D403" s="37">
        <v>0</v>
      </c>
      <c r="E403" s="36">
        <f t="shared" si="114"/>
        <v>0</v>
      </c>
      <c r="F403" s="37">
        <v>0</v>
      </c>
      <c r="G403" s="37">
        <v>100</v>
      </c>
      <c r="H403" s="36">
        <f t="shared" si="115"/>
        <v>100</v>
      </c>
      <c r="I403" s="36">
        <f t="shared" si="116"/>
        <v>0</v>
      </c>
      <c r="J403" s="36">
        <f t="shared" si="116"/>
        <v>100</v>
      </c>
      <c r="K403" s="36">
        <f t="shared" si="116"/>
        <v>100</v>
      </c>
    </row>
    <row r="404" spans="1:11" s="31" customFormat="1" ht="15" customHeight="1">
      <c r="A404" s="30" t="s">
        <v>49</v>
      </c>
      <c r="B404" s="31" t="s">
        <v>81</v>
      </c>
      <c r="C404" s="25">
        <v>0</v>
      </c>
      <c r="D404" s="25">
        <v>10300</v>
      </c>
      <c r="E404" s="26">
        <f t="shared" si="114"/>
        <v>10300</v>
      </c>
      <c r="F404" s="32">
        <v>0</v>
      </c>
      <c r="G404" s="32">
        <v>-1800</v>
      </c>
      <c r="H404" s="26">
        <f t="shared" si="115"/>
        <v>-1800</v>
      </c>
      <c r="I404" s="26">
        <f t="shared" si="116"/>
        <v>0</v>
      </c>
      <c r="J404" s="26">
        <f t="shared" si="116"/>
        <v>8500</v>
      </c>
      <c r="K404" s="26">
        <f t="shared" si="116"/>
        <v>8500</v>
      </c>
    </row>
    <row r="405" spans="1:11" s="31" customFormat="1" ht="15" customHeight="1">
      <c r="A405" s="30" t="s">
        <v>40</v>
      </c>
      <c r="B405" s="31" t="s">
        <v>41</v>
      </c>
      <c r="C405" s="25">
        <v>0</v>
      </c>
      <c r="D405" s="25">
        <v>2000</v>
      </c>
      <c r="E405" s="26">
        <f t="shared" si="114"/>
        <v>2000</v>
      </c>
      <c r="F405" s="32">
        <v>0</v>
      </c>
      <c r="G405" s="32">
        <v>1000</v>
      </c>
      <c r="H405" s="26">
        <f t="shared" si="115"/>
        <v>1000</v>
      </c>
      <c r="I405" s="26">
        <f>C405+F405</f>
        <v>0</v>
      </c>
      <c r="J405" s="26">
        <f>D405+G405</f>
        <v>3000</v>
      </c>
      <c r="K405" s="26">
        <f>E405+H405</f>
        <v>3000</v>
      </c>
    </row>
    <row r="406" spans="1:11" s="93" customFormat="1" ht="15" customHeight="1">
      <c r="A406" s="92">
        <v>85295</v>
      </c>
      <c r="B406" s="93" t="s">
        <v>110</v>
      </c>
      <c r="C406" s="94">
        <v>180533</v>
      </c>
      <c r="D406" s="94">
        <v>0</v>
      </c>
      <c r="E406" s="23">
        <f t="shared" si="114"/>
        <v>180533</v>
      </c>
      <c r="F406" s="95">
        <f>SUM(F407:F407)</f>
        <v>6500</v>
      </c>
      <c r="G406" s="95">
        <f>SUM(G407:G407)</f>
        <v>0</v>
      </c>
      <c r="H406" s="23">
        <f t="shared" si="115"/>
        <v>6500</v>
      </c>
      <c r="I406" s="23">
        <f t="shared" si="116"/>
        <v>187033</v>
      </c>
      <c r="J406" s="23">
        <f t="shared" si="116"/>
        <v>0</v>
      </c>
      <c r="K406" s="23">
        <f t="shared" si="116"/>
        <v>187033</v>
      </c>
    </row>
    <row r="407" spans="1:11" s="87" customFormat="1" ht="15" customHeight="1">
      <c r="A407" s="86" t="s">
        <v>27</v>
      </c>
      <c r="B407" s="87" t="s">
        <v>144</v>
      </c>
      <c r="C407" s="85">
        <v>165499</v>
      </c>
      <c r="D407" s="85">
        <v>0</v>
      </c>
      <c r="E407" s="36">
        <f t="shared" si="114"/>
        <v>165499</v>
      </c>
      <c r="F407" s="88">
        <v>6500</v>
      </c>
      <c r="G407" s="88">
        <v>0</v>
      </c>
      <c r="H407" s="36">
        <f t="shared" si="115"/>
        <v>6500</v>
      </c>
      <c r="I407" s="36">
        <f t="shared" si="116"/>
        <v>171999</v>
      </c>
      <c r="J407" s="36">
        <f t="shared" si="116"/>
        <v>0</v>
      </c>
      <c r="K407" s="36">
        <f t="shared" si="116"/>
        <v>171999</v>
      </c>
    </row>
    <row r="408" spans="1:11" s="6" customFormat="1" ht="15" customHeight="1">
      <c r="A408" s="2" t="s">
        <v>145</v>
      </c>
      <c r="B408" s="13" t="s">
        <v>146</v>
      </c>
      <c r="C408" s="14">
        <v>40000</v>
      </c>
      <c r="D408" s="14">
        <v>140333</v>
      </c>
      <c r="E408" s="5">
        <f t="shared" si="114"/>
        <v>180333</v>
      </c>
      <c r="F408" s="14">
        <f>F411</f>
        <v>4760</v>
      </c>
      <c r="G408" s="14">
        <f>G411</f>
        <v>0</v>
      </c>
      <c r="H408" s="5">
        <f t="shared" si="115"/>
        <v>4760</v>
      </c>
      <c r="I408" s="5">
        <f>C408+F408</f>
        <v>44760</v>
      </c>
      <c r="J408" s="5">
        <f>D408+G408</f>
        <v>140333</v>
      </c>
      <c r="K408" s="5">
        <f>E408+H408</f>
        <v>185093</v>
      </c>
    </row>
    <row r="409" spans="1:11" s="9" customFormat="1" ht="15" customHeight="1">
      <c r="A409" s="15"/>
      <c r="B409" s="16" t="s">
        <v>12</v>
      </c>
      <c r="C409" s="17"/>
      <c r="D409" s="17"/>
      <c r="E409" s="8"/>
      <c r="F409" s="17"/>
      <c r="G409" s="17"/>
      <c r="H409" s="8"/>
      <c r="I409" s="8"/>
      <c r="J409" s="8"/>
      <c r="K409" s="8"/>
    </row>
    <row r="410" spans="1:11" s="12" customFormat="1" ht="15" customHeight="1">
      <c r="A410" s="18"/>
      <c r="B410" s="19" t="s">
        <v>13</v>
      </c>
      <c r="C410" s="20">
        <v>0</v>
      </c>
      <c r="D410" s="20">
        <v>0</v>
      </c>
      <c r="E410" s="11">
        <f aca="true" t="shared" si="117" ref="E410:E418">SUM(C410:D410)</f>
        <v>0</v>
      </c>
      <c r="F410" s="20">
        <v>0</v>
      </c>
      <c r="G410" s="20">
        <v>0</v>
      </c>
      <c r="H410" s="11">
        <f aca="true" t="shared" si="118" ref="H410:H418">F410+G410</f>
        <v>0</v>
      </c>
      <c r="I410" s="11">
        <f>C410+F410</f>
        <v>0</v>
      </c>
      <c r="J410" s="11">
        <f>D410+G410</f>
        <v>0</v>
      </c>
      <c r="K410" s="11">
        <f>E410+H410</f>
        <v>0</v>
      </c>
    </row>
    <row r="411" spans="1:11" s="28" customFormat="1" ht="15" customHeight="1">
      <c r="A411" s="27">
        <v>85321</v>
      </c>
      <c r="B411" s="28" t="s">
        <v>147</v>
      </c>
      <c r="C411" s="22">
        <v>10000</v>
      </c>
      <c r="D411" s="22">
        <v>140333</v>
      </c>
      <c r="E411" s="23">
        <f t="shared" si="117"/>
        <v>150333</v>
      </c>
      <c r="F411" s="29">
        <f>SUM(F412:F419)</f>
        <v>4760</v>
      </c>
      <c r="G411" s="29">
        <f>SUM(G412:G419)</f>
        <v>0</v>
      </c>
      <c r="H411" s="23">
        <f t="shared" si="118"/>
        <v>4760</v>
      </c>
      <c r="I411" s="23">
        <f aca="true" t="shared" si="119" ref="I411:K418">C411+F411</f>
        <v>14760</v>
      </c>
      <c r="J411" s="23">
        <f t="shared" si="119"/>
        <v>140333</v>
      </c>
      <c r="K411" s="23">
        <f t="shared" si="119"/>
        <v>155093</v>
      </c>
    </row>
    <row r="412" spans="1:11" s="34" customFormat="1" ht="15" customHeight="1">
      <c r="A412" s="33" t="s">
        <v>36</v>
      </c>
      <c r="B412" s="34" t="s">
        <v>37</v>
      </c>
      <c r="C412" s="35">
        <v>0</v>
      </c>
      <c r="D412" s="35">
        <v>67700</v>
      </c>
      <c r="E412" s="36">
        <f t="shared" si="117"/>
        <v>67700</v>
      </c>
      <c r="F412" s="37">
        <v>4000</v>
      </c>
      <c r="G412" s="37">
        <v>0</v>
      </c>
      <c r="H412" s="36">
        <f t="shared" si="118"/>
        <v>4000</v>
      </c>
      <c r="I412" s="36">
        <f t="shared" si="119"/>
        <v>4000</v>
      </c>
      <c r="J412" s="36">
        <f t="shared" si="119"/>
        <v>67700</v>
      </c>
      <c r="K412" s="36">
        <f>E412+H412</f>
        <v>71700</v>
      </c>
    </row>
    <row r="413" spans="1:11" s="38" customFormat="1" ht="15" customHeight="1">
      <c r="A413" s="33" t="s">
        <v>38</v>
      </c>
      <c r="B413" s="34" t="s">
        <v>39</v>
      </c>
      <c r="C413" s="37">
        <v>0</v>
      </c>
      <c r="D413" s="37">
        <v>13000</v>
      </c>
      <c r="E413" s="36">
        <f t="shared" si="117"/>
        <v>13000</v>
      </c>
      <c r="F413" s="37">
        <v>700</v>
      </c>
      <c r="G413" s="37">
        <v>0</v>
      </c>
      <c r="H413" s="36">
        <f t="shared" si="118"/>
        <v>700</v>
      </c>
      <c r="I413" s="36">
        <f t="shared" si="119"/>
        <v>700</v>
      </c>
      <c r="J413" s="36">
        <f t="shared" si="119"/>
        <v>13000</v>
      </c>
      <c r="K413" s="36">
        <f>E413+H413</f>
        <v>13700</v>
      </c>
    </row>
    <row r="414" spans="1:11" s="38" customFormat="1" ht="15" customHeight="1">
      <c r="A414" s="33" t="s">
        <v>42</v>
      </c>
      <c r="B414" s="34" t="s">
        <v>43</v>
      </c>
      <c r="C414" s="37">
        <v>0</v>
      </c>
      <c r="D414" s="37">
        <v>1800</v>
      </c>
      <c r="E414" s="36">
        <f t="shared" si="117"/>
        <v>1800</v>
      </c>
      <c r="F414" s="37">
        <v>60</v>
      </c>
      <c r="G414" s="37">
        <v>0</v>
      </c>
      <c r="H414" s="36">
        <f t="shared" si="118"/>
        <v>60</v>
      </c>
      <c r="I414" s="36">
        <f t="shared" si="119"/>
        <v>60</v>
      </c>
      <c r="J414" s="36">
        <f t="shared" si="119"/>
        <v>1800</v>
      </c>
      <c r="K414" s="36">
        <f>E414+H414</f>
        <v>1860</v>
      </c>
    </row>
    <row r="415" spans="1:11" s="9" customFormat="1" ht="15" customHeight="1">
      <c r="A415" s="24" t="s">
        <v>49</v>
      </c>
      <c r="B415" s="9" t="s">
        <v>50</v>
      </c>
      <c r="C415" s="25">
        <v>10000</v>
      </c>
      <c r="D415" s="25">
        <v>30000</v>
      </c>
      <c r="E415" s="26">
        <f t="shared" si="117"/>
        <v>40000</v>
      </c>
      <c r="F415" s="25">
        <v>0</v>
      </c>
      <c r="G415" s="25">
        <v>-348</v>
      </c>
      <c r="H415" s="26">
        <f t="shared" si="118"/>
        <v>-348</v>
      </c>
      <c r="I415" s="26">
        <f t="shared" si="119"/>
        <v>10000</v>
      </c>
      <c r="J415" s="26">
        <f t="shared" si="119"/>
        <v>29652</v>
      </c>
      <c r="K415" s="26">
        <f t="shared" si="119"/>
        <v>39652</v>
      </c>
    </row>
    <row r="416" spans="1:11" s="9" customFormat="1" ht="15" customHeight="1">
      <c r="A416" s="24" t="s">
        <v>40</v>
      </c>
      <c r="B416" s="9" t="s">
        <v>41</v>
      </c>
      <c r="C416" s="25">
        <v>0</v>
      </c>
      <c r="D416" s="25">
        <v>7630</v>
      </c>
      <c r="E416" s="26">
        <f t="shared" si="117"/>
        <v>7630</v>
      </c>
      <c r="F416" s="25">
        <v>0</v>
      </c>
      <c r="G416" s="25">
        <v>720</v>
      </c>
      <c r="H416" s="26">
        <f t="shared" si="118"/>
        <v>720</v>
      </c>
      <c r="I416" s="26">
        <f t="shared" si="119"/>
        <v>0</v>
      </c>
      <c r="J416" s="26">
        <f t="shared" si="119"/>
        <v>8350</v>
      </c>
      <c r="K416" s="26">
        <f t="shared" si="119"/>
        <v>8350</v>
      </c>
    </row>
    <row r="417" spans="1:11" s="9" customFormat="1" ht="15" customHeight="1">
      <c r="A417" s="24" t="s">
        <v>27</v>
      </c>
      <c r="B417" s="9" t="s">
        <v>28</v>
      </c>
      <c r="C417" s="25">
        <v>0</v>
      </c>
      <c r="D417" s="25">
        <v>11520</v>
      </c>
      <c r="E417" s="26">
        <f t="shared" si="117"/>
        <v>11520</v>
      </c>
      <c r="F417" s="25">
        <v>0</v>
      </c>
      <c r="G417" s="25">
        <v>-720</v>
      </c>
      <c r="H417" s="26">
        <f t="shared" si="118"/>
        <v>-720</v>
      </c>
      <c r="I417" s="26">
        <f t="shared" si="119"/>
        <v>0</v>
      </c>
      <c r="J417" s="26">
        <f t="shared" si="119"/>
        <v>10800</v>
      </c>
      <c r="K417" s="26">
        <f t="shared" si="119"/>
        <v>10800</v>
      </c>
    </row>
    <row r="418" spans="1:11" s="9" customFormat="1" ht="15" customHeight="1">
      <c r="A418" s="24" t="s">
        <v>120</v>
      </c>
      <c r="B418" s="9" t="s">
        <v>121</v>
      </c>
      <c r="C418" s="25">
        <v>0</v>
      </c>
      <c r="D418" s="25">
        <v>100</v>
      </c>
      <c r="E418" s="26">
        <f t="shared" si="117"/>
        <v>100</v>
      </c>
      <c r="F418" s="25">
        <v>0</v>
      </c>
      <c r="G418" s="25">
        <v>42</v>
      </c>
      <c r="H418" s="26">
        <f t="shared" si="118"/>
        <v>42</v>
      </c>
      <c r="I418" s="26">
        <f t="shared" si="119"/>
        <v>0</v>
      </c>
      <c r="J418" s="26">
        <f t="shared" si="119"/>
        <v>142</v>
      </c>
      <c r="K418" s="26">
        <f t="shared" si="119"/>
        <v>142</v>
      </c>
    </row>
    <row r="419" spans="1:11" s="9" customFormat="1" ht="15" customHeight="1">
      <c r="A419" s="24" t="s">
        <v>29</v>
      </c>
      <c r="B419" s="9" t="s">
        <v>30</v>
      </c>
      <c r="C419" s="25">
        <v>0</v>
      </c>
      <c r="D419" s="25">
        <v>2200</v>
      </c>
      <c r="E419" s="26">
        <f>SUM(C419:D419)</f>
        <v>2200</v>
      </c>
      <c r="F419" s="25">
        <v>0</v>
      </c>
      <c r="G419" s="25">
        <v>306</v>
      </c>
      <c r="H419" s="26">
        <f>F419+G419</f>
        <v>306</v>
      </c>
      <c r="I419" s="26">
        <f aca="true" t="shared" si="120" ref="I419:K420">C419+F419</f>
        <v>0</v>
      </c>
      <c r="J419" s="26">
        <f t="shared" si="120"/>
        <v>2506</v>
      </c>
      <c r="K419" s="26">
        <f t="shared" si="120"/>
        <v>2506</v>
      </c>
    </row>
    <row r="420" spans="1:11" s="72" customFormat="1" ht="15" customHeight="1">
      <c r="A420" s="2" t="s">
        <v>58</v>
      </c>
      <c r="B420" s="13" t="s">
        <v>59</v>
      </c>
      <c r="C420" s="14">
        <v>4099973</v>
      </c>
      <c r="D420" s="14">
        <v>1089912</v>
      </c>
      <c r="E420" s="5">
        <f>SUM(C420:D420)</f>
        <v>5189885</v>
      </c>
      <c r="F420" s="14">
        <f>F423+F431+F439+F441+F445</f>
        <v>-12017</v>
      </c>
      <c r="G420" s="14">
        <v>0</v>
      </c>
      <c r="H420" s="5">
        <f>F420+G420</f>
        <v>-12017</v>
      </c>
      <c r="I420" s="5">
        <f t="shared" si="120"/>
        <v>4087956</v>
      </c>
      <c r="J420" s="5">
        <f t="shared" si="120"/>
        <v>1089912</v>
      </c>
      <c r="K420" s="5">
        <f t="shared" si="120"/>
        <v>5177868</v>
      </c>
    </row>
    <row r="421" spans="1:11" ht="15" customHeight="1">
      <c r="A421" s="15"/>
      <c r="B421" s="16" t="s">
        <v>12</v>
      </c>
      <c r="C421" s="17"/>
      <c r="D421" s="17"/>
      <c r="E421" s="8"/>
      <c r="F421" s="17"/>
      <c r="G421" s="17"/>
      <c r="H421" s="8"/>
      <c r="I421" s="8"/>
      <c r="J421" s="8"/>
      <c r="K421" s="8"/>
    </row>
    <row r="422" spans="1:11" ht="15" customHeight="1">
      <c r="A422" s="18"/>
      <c r="B422" s="19" t="s">
        <v>13</v>
      </c>
      <c r="C422" s="20">
        <v>20000</v>
      </c>
      <c r="D422" s="20">
        <v>0</v>
      </c>
      <c r="E422" s="11">
        <f aca="true" t="shared" si="121" ref="E422:E440">SUM(C422:D422)</f>
        <v>20000</v>
      </c>
      <c r="F422" s="20">
        <v>0</v>
      </c>
      <c r="G422" s="20">
        <v>0</v>
      </c>
      <c r="H422" s="11">
        <f aca="true" t="shared" si="122" ref="H422:H433">F422+G422</f>
        <v>0</v>
      </c>
      <c r="I422" s="11">
        <f>C422+F422</f>
        <v>20000</v>
      </c>
      <c r="J422" s="11">
        <f>D422+G422</f>
        <v>0</v>
      </c>
      <c r="K422" s="11">
        <f>E422+H422</f>
        <v>20000</v>
      </c>
    </row>
    <row r="423" spans="1:11" s="80" customFormat="1" ht="15" customHeight="1">
      <c r="A423" s="126">
        <v>85401</v>
      </c>
      <c r="B423" s="127" t="s">
        <v>60</v>
      </c>
      <c r="C423" s="81">
        <v>295200</v>
      </c>
      <c r="D423" s="81">
        <v>0</v>
      </c>
      <c r="E423" s="49">
        <f t="shared" si="121"/>
        <v>295200</v>
      </c>
      <c r="F423" s="128">
        <f>SUM(F424:F430)</f>
        <v>11443</v>
      </c>
      <c r="G423" s="128">
        <v>0</v>
      </c>
      <c r="H423" s="49">
        <f t="shared" si="122"/>
        <v>11443</v>
      </c>
      <c r="I423" s="49">
        <f aca="true" t="shared" si="123" ref="I423:K436">C423+F423</f>
        <v>306643</v>
      </c>
      <c r="J423" s="49">
        <f aca="true" t="shared" si="124" ref="J423:J430">D423+G423</f>
        <v>0</v>
      </c>
      <c r="K423" s="49">
        <f aca="true" t="shared" si="125" ref="K423:K430">E423+H423</f>
        <v>306643</v>
      </c>
    </row>
    <row r="424" spans="1:11" s="84" customFormat="1" ht="15" customHeight="1">
      <c r="A424" s="86" t="s">
        <v>38</v>
      </c>
      <c r="B424" s="87" t="s">
        <v>39</v>
      </c>
      <c r="C424" s="88">
        <v>24850</v>
      </c>
      <c r="D424" s="88">
        <v>0</v>
      </c>
      <c r="E424" s="36">
        <f t="shared" si="121"/>
        <v>24850</v>
      </c>
      <c r="F424" s="88">
        <v>350</v>
      </c>
      <c r="G424" s="88">
        <v>0</v>
      </c>
      <c r="H424" s="36">
        <f t="shared" si="122"/>
        <v>350</v>
      </c>
      <c r="I424" s="36">
        <f t="shared" si="123"/>
        <v>25200</v>
      </c>
      <c r="J424" s="36">
        <f t="shared" si="124"/>
        <v>0</v>
      </c>
      <c r="K424" s="36">
        <f t="shared" si="125"/>
        <v>25200</v>
      </c>
    </row>
    <row r="425" spans="1:11" s="90" customFormat="1" ht="15" customHeight="1">
      <c r="A425" s="89" t="s">
        <v>42</v>
      </c>
      <c r="B425" s="90" t="s">
        <v>43</v>
      </c>
      <c r="C425" s="91">
        <v>3650</v>
      </c>
      <c r="D425" s="91">
        <v>0</v>
      </c>
      <c r="E425" s="26">
        <f t="shared" si="121"/>
        <v>3650</v>
      </c>
      <c r="F425" s="91">
        <f>-150</f>
        <v>-150</v>
      </c>
      <c r="G425" s="91">
        <v>0</v>
      </c>
      <c r="H425" s="26">
        <f t="shared" si="122"/>
        <v>-150</v>
      </c>
      <c r="I425" s="26">
        <f t="shared" si="123"/>
        <v>3500</v>
      </c>
      <c r="J425" s="26">
        <f t="shared" si="124"/>
        <v>0</v>
      </c>
      <c r="K425" s="26">
        <f t="shared" si="125"/>
        <v>3500</v>
      </c>
    </row>
    <row r="426" spans="1:11" s="84" customFormat="1" ht="15" customHeight="1">
      <c r="A426" s="86" t="s">
        <v>40</v>
      </c>
      <c r="B426" s="87" t="s">
        <v>41</v>
      </c>
      <c r="C426" s="88">
        <v>13400</v>
      </c>
      <c r="D426" s="88">
        <v>0</v>
      </c>
      <c r="E426" s="36">
        <f t="shared" si="121"/>
        <v>13400</v>
      </c>
      <c r="F426" s="88">
        <v>1000</v>
      </c>
      <c r="G426" s="88">
        <v>0</v>
      </c>
      <c r="H426" s="36">
        <f t="shared" si="122"/>
        <v>1000</v>
      </c>
      <c r="I426" s="36">
        <f t="shared" si="123"/>
        <v>14400</v>
      </c>
      <c r="J426" s="36">
        <f t="shared" si="124"/>
        <v>0</v>
      </c>
      <c r="K426" s="36">
        <f t="shared" si="125"/>
        <v>14400</v>
      </c>
    </row>
    <row r="427" spans="1:11" s="84" customFormat="1" ht="15" customHeight="1">
      <c r="A427" s="86" t="s">
        <v>55</v>
      </c>
      <c r="B427" s="87" t="s">
        <v>56</v>
      </c>
      <c r="C427" s="85">
        <v>83712</v>
      </c>
      <c r="D427" s="85">
        <v>0</v>
      </c>
      <c r="E427" s="36">
        <f t="shared" si="121"/>
        <v>83712</v>
      </c>
      <c r="F427" s="88">
        <f>6739+7000</f>
        <v>13739</v>
      </c>
      <c r="G427" s="88">
        <v>0</v>
      </c>
      <c r="H427" s="36">
        <f t="shared" si="122"/>
        <v>13739</v>
      </c>
      <c r="I427" s="36">
        <f t="shared" si="123"/>
        <v>97451</v>
      </c>
      <c r="J427" s="36">
        <f t="shared" si="124"/>
        <v>0</v>
      </c>
      <c r="K427" s="36">
        <f t="shared" si="125"/>
        <v>97451</v>
      </c>
    </row>
    <row r="428" spans="1:11" s="9" customFormat="1" ht="15" customHeight="1">
      <c r="A428" s="24" t="s">
        <v>21</v>
      </c>
      <c r="B428" s="9" t="s">
        <v>22</v>
      </c>
      <c r="C428" s="25">
        <v>6900</v>
      </c>
      <c r="D428" s="25">
        <v>0</v>
      </c>
      <c r="E428" s="26">
        <f t="shared" si="121"/>
        <v>6900</v>
      </c>
      <c r="F428" s="25">
        <v>500</v>
      </c>
      <c r="G428" s="25">
        <v>0</v>
      </c>
      <c r="H428" s="26">
        <f t="shared" si="122"/>
        <v>500</v>
      </c>
      <c r="I428" s="26">
        <f t="shared" si="123"/>
        <v>7400</v>
      </c>
      <c r="J428" s="26">
        <f t="shared" si="124"/>
        <v>0</v>
      </c>
      <c r="K428" s="26">
        <f t="shared" si="125"/>
        <v>7400</v>
      </c>
    </row>
    <row r="429" spans="1:11" s="84" customFormat="1" ht="15" customHeight="1">
      <c r="A429" s="86" t="s">
        <v>27</v>
      </c>
      <c r="B429" s="87" t="s">
        <v>28</v>
      </c>
      <c r="C429" s="88">
        <v>9936</v>
      </c>
      <c r="D429" s="88">
        <v>0</v>
      </c>
      <c r="E429" s="36">
        <f t="shared" si="121"/>
        <v>9936</v>
      </c>
      <c r="F429" s="88">
        <f>-3848</f>
        <v>-3848</v>
      </c>
      <c r="G429" s="88">
        <v>0</v>
      </c>
      <c r="H429" s="36">
        <f t="shared" si="122"/>
        <v>-3848</v>
      </c>
      <c r="I429" s="36">
        <f t="shared" si="123"/>
        <v>6088</v>
      </c>
      <c r="J429" s="36">
        <f t="shared" si="124"/>
        <v>0</v>
      </c>
      <c r="K429" s="36">
        <f t="shared" si="125"/>
        <v>6088</v>
      </c>
    </row>
    <row r="430" spans="1:11" s="130" customFormat="1" ht="15" customHeight="1">
      <c r="A430" s="129" t="s">
        <v>29</v>
      </c>
      <c r="B430" s="130" t="s">
        <v>30</v>
      </c>
      <c r="C430" s="131">
        <v>7552</v>
      </c>
      <c r="D430" s="131">
        <v>0</v>
      </c>
      <c r="E430" s="59">
        <f t="shared" si="121"/>
        <v>7552</v>
      </c>
      <c r="F430" s="131">
        <f>-148</f>
        <v>-148</v>
      </c>
      <c r="G430" s="131">
        <v>0</v>
      </c>
      <c r="H430" s="59">
        <f t="shared" si="122"/>
        <v>-148</v>
      </c>
      <c r="I430" s="59">
        <f t="shared" si="123"/>
        <v>7404</v>
      </c>
      <c r="J430" s="59">
        <f t="shared" si="124"/>
        <v>0</v>
      </c>
      <c r="K430" s="59">
        <f t="shared" si="125"/>
        <v>7404</v>
      </c>
    </row>
    <row r="431" spans="1:11" s="80" customFormat="1" ht="14.25" customHeight="1">
      <c r="A431" s="126">
        <v>85403</v>
      </c>
      <c r="B431" s="127" t="s">
        <v>166</v>
      </c>
      <c r="C431" s="128">
        <v>2097180</v>
      </c>
      <c r="D431" s="128">
        <v>0</v>
      </c>
      <c r="E431" s="49">
        <f t="shared" si="121"/>
        <v>2097180</v>
      </c>
      <c r="F431" s="128">
        <f>SUM(F432:F438)</f>
        <v>-1183</v>
      </c>
      <c r="G431" s="128">
        <v>0</v>
      </c>
      <c r="H431" s="49">
        <f t="shared" si="122"/>
        <v>-1183</v>
      </c>
      <c r="I431" s="49">
        <f t="shared" si="123"/>
        <v>2095997</v>
      </c>
      <c r="J431" s="49">
        <f t="shared" si="123"/>
        <v>0</v>
      </c>
      <c r="K431" s="49">
        <f>SUM(E431+H431)</f>
        <v>2095997</v>
      </c>
    </row>
    <row r="432" spans="1:11" s="84" customFormat="1" ht="14.25" customHeight="1">
      <c r="A432" s="86" t="s">
        <v>36</v>
      </c>
      <c r="B432" s="87" t="s">
        <v>167</v>
      </c>
      <c r="C432" s="88">
        <v>1317024</v>
      </c>
      <c r="D432" s="88">
        <v>0</v>
      </c>
      <c r="E432" s="36">
        <f t="shared" si="121"/>
        <v>1317024</v>
      </c>
      <c r="F432" s="88">
        <f>-4220-2400</f>
        <v>-6620</v>
      </c>
      <c r="G432" s="88">
        <v>0</v>
      </c>
      <c r="H432" s="36">
        <f t="shared" si="122"/>
        <v>-6620</v>
      </c>
      <c r="I432" s="36">
        <f t="shared" si="123"/>
        <v>1310404</v>
      </c>
      <c r="J432" s="36">
        <f t="shared" si="123"/>
        <v>0</v>
      </c>
      <c r="K432" s="36">
        <f t="shared" si="123"/>
        <v>1310404</v>
      </c>
    </row>
    <row r="433" spans="1:11" s="84" customFormat="1" ht="14.25" customHeight="1">
      <c r="A433" s="86" t="s">
        <v>38</v>
      </c>
      <c r="B433" s="87" t="s">
        <v>39</v>
      </c>
      <c r="C433" s="88">
        <v>222000</v>
      </c>
      <c r="D433" s="88">
        <v>0</v>
      </c>
      <c r="E433" s="36">
        <f t="shared" si="121"/>
        <v>222000</v>
      </c>
      <c r="F433" s="88">
        <f>5000-539</f>
        <v>4461</v>
      </c>
      <c r="G433" s="88">
        <v>0</v>
      </c>
      <c r="H433" s="36">
        <f t="shared" si="122"/>
        <v>4461</v>
      </c>
      <c r="I433" s="36">
        <f t="shared" si="123"/>
        <v>226461</v>
      </c>
      <c r="J433" s="36">
        <f t="shared" si="123"/>
        <v>0</v>
      </c>
      <c r="K433" s="36">
        <f t="shared" si="123"/>
        <v>226461</v>
      </c>
    </row>
    <row r="434" spans="1:11" s="90" customFormat="1" ht="15" customHeight="1">
      <c r="A434" s="89" t="s">
        <v>42</v>
      </c>
      <c r="B434" s="90" t="s">
        <v>43</v>
      </c>
      <c r="C434" s="91">
        <v>32300</v>
      </c>
      <c r="D434" s="91">
        <v>0</v>
      </c>
      <c r="E434" s="26">
        <f t="shared" si="121"/>
        <v>32300</v>
      </c>
      <c r="F434" s="91">
        <f>-757-236</f>
        <v>-993</v>
      </c>
      <c r="G434" s="91">
        <v>0</v>
      </c>
      <c r="H434" s="26">
        <f aca="true" t="shared" si="126" ref="H434:H445">F434+G434</f>
        <v>-993</v>
      </c>
      <c r="I434" s="26">
        <f aca="true" t="shared" si="127" ref="I434:I440">C434+F434</f>
        <v>31307</v>
      </c>
      <c r="J434" s="26">
        <f t="shared" si="123"/>
        <v>0</v>
      </c>
      <c r="K434" s="26">
        <f t="shared" si="123"/>
        <v>31307</v>
      </c>
    </row>
    <row r="435" spans="1:11" s="9" customFormat="1" ht="15" customHeight="1">
      <c r="A435" s="24" t="s">
        <v>49</v>
      </c>
      <c r="B435" s="9" t="s">
        <v>50</v>
      </c>
      <c r="C435" s="25">
        <v>6500</v>
      </c>
      <c r="D435" s="25">
        <v>0</v>
      </c>
      <c r="E435" s="26">
        <f t="shared" si="121"/>
        <v>6500</v>
      </c>
      <c r="F435" s="25">
        <f>-2955</f>
        <v>-2955</v>
      </c>
      <c r="G435" s="25">
        <v>0</v>
      </c>
      <c r="H435" s="26">
        <f t="shared" si="126"/>
        <v>-2955</v>
      </c>
      <c r="I435" s="26">
        <f t="shared" si="127"/>
        <v>3545</v>
      </c>
      <c r="J435" s="26">
        <f t="shared" si="123"/>
        <v>0</v>
      </c>
      <c r="K435" s="26">
        <f t="shared" si="123"/>
        <v>3545</v>
      </c>
    </row>
    <row r="436" spans="1:11" s="9" customFormat="1" ht="15" customHeight="1">
      <c r="A436" s="24" t="s">
        <v>21</v>
      </c>
      <c r="B436" s="9" t="s">
        <v>22</v>
      </c>
      <c r="C436" s="25">
        <v>80000</v>
      </c>
      <c r="D436" s="25">
        <v>0</v>
      </c>
      <c r="E436" s="26">
        <f t="shared" si="121"/>
        <v>80000</v>
      </c>
      <c r="F436" s="25">
        <v>8000</v>
      </c>
      <c r="G436" s="25">
        <v>0</v>
      </c>
      <c r="H436" s="26">
        <f t="shared" si="126"/>
        <v>8000</v>
      </c>
      <c r="I436" s="26">
        <f t="shared" si="127"/>
        <v>88000</v>
      </c>
      <c r="J436" s="26">
        <f t="shared" si="123"/>
        <v>0</v>
      </c>
      <c r="K436" s="26">
        <f t="shared" si="123"/>
        <v>88000</v>
      </c>
    </row>
    <row r="437" spans="1:11" s="90" customFormat="1" ht="14.25" customHeight="1">
      <c r="A437" s="89" t="s">
        <v>23</v>
      </c>
      <c r="B437" s="90" t="s">
        <v>24</v>
      </c>
      <c r="C437" s="91">
        <v>100</v>
      </c>
      <c r="D437" s="91">
        <v>0</v>
      </c>
      <c r="E437" s="26">
        <f t="shared" si="121"/>
        <v>100</v>
      </c>
      <c r="F437" s="91">
        <f>-90</f>
        <v>-90</v>
      </c>
      <c r="G437" s="91">
        <v>0</v>
      </c>
      <c r="H437" s="26">
        <f t="shared" si="126"/>
        <v>-90</v>
      </c>
      <c r="I437" s="26">
        <f t="shared" si="127"/>
        <v>10</v>
      </c>
      <c r="J437" s="26">
        <f>D437+G437</f>
        <v>0</v>
      </c>
      <c r="K437" s="26">
        <f>E437+H437</f>
        <v>10</v>
      </c>
    </row>
    <row r="438" spans="1:11" s="130" customFormat="1" ht="15" customHeight="1">
      <c r="A438" s="129" t="s">
        <v>29</v>
      </c>
      <c r="B438" s="130" t="s">
        <v>30</v>
      </c>
      <c r="C438" s="131">
        <v>83100</v>
      </c>
      <c r="D438" s="131">
        <v>0</v>
      </c>
      <c r="E438" s="59">
        <f t="shared" si="121"/>
        <v>83100</v>
      </c>
      <c r="F438" s="131">
        <f>-2986</f>
        <v>-2986</v>
      </c>
      <c r="G438" s="131">
        <v>0</v>
      </c>
      <c r="H438" s="59">
        <f t="shared" si="126"/>
        <v>-2986</v>
      </c>
      <c r="I438" s="59">
        <f t="shared" si="127"/>
        <v>80114</v>
      </c>
      <c r="J438" s="59">
        <f>D438+G438</f>
        <v>0</v>
      </c>
      <c r="K438" s="59">
        <f>E438+H438</f>
        <v>80114</v>
      </c>
    </row>
    <row r="439" spans="1:11" s="80" customFormat="1" ht="15" customHeight="1">
      <c r="A439" s="126">
        <v>85404</v>
      </c>
      <c r="B439" s="127" t="s">
        <v>158</v>
      </c>
      <c r="C439" s="128">
        <v>0</v>
      </c>
      <c r="D439" s="128">
        <v>0</v>
      </c>
      <c r="E439" s="49">
        <f t="shared" si="121"/>
        <v>0</v>
      </c>
      <c r="F439" s="128">
        <f>F440</f>
        <v>7063</v>
      </c>
      <c r="G439" s="128">
        <v>0</v>
      </c>
      <c r="H439" s="49">
        <f t="shared" si="126"/>
        <v>7063</v>
      </c>
      <c r="I439" s="49">
        <f t="shared" si="127"/>
        <v>7063</v>
      </c>
      <c r="J439" s="49">
        <f>D439+G439</f>
        <v>0</v>
      </c>
      <c r="K439" s="49">
        <f>SUM(E439+H439)</f>
        <v>7063</v>
      </c>
    </row>
    <row r="440" spans="1:11" s="87" customFormat="1" ht="15" customHeight="1">
      <c r="A440" s="86" t="s">
        <v>156</v>
      </c>
      <c r="B440" s="87" t="s">
        <v>157</v>
      </c>
      <c r="C440" s="85">
        <v>0</v>
      </c>
      <c r="D440" s="85">
        <v>0</v>
      </c>
      <c r="E440" s="36">
        <f t="shared" si="121"/>
        <v>0</v>
      </c>
      <c r="F440" s="88">
        <v>7063</v>
      </c>
      <c r="G440" s="88">
        <v>0</v>
      </c>
      <c r="H440" s="36">
        <f t="shared" si="126"/>
        <v>7063</v>
      </c>
      <c r="I440" s="36">
        <f t="shared" si="127"/>
        <v>7063</v>
      </c>
      <c r="J440" s="36">
        <f>D440+G440</f>
        <v>0</v>
      </c>
      <c r="K440" s="36">
        <f>E440+H440</f>
        <v>7063</v>
      </c>
    </row>
    <row r="441" spans="1:11" s="6" customFormat="1" ht="15" customHeight="1">
      <c r="A441" s="21">
        <v>85406</v>
      </c>
      <c r="B441" s="6" t="s">
        <v>204</v>
      </c>
      <c r="C441" s="22">
        <v>905647</v>
      </c>
      <c r="D441" s="22">
        <v>659512</v>
      </c>
      <c r="E441" s="23">
        <f aca="true" t="shared" si="128" ref="E441:E451">SUM(C441:D441)</f>
        <v>1565159</v>
      </c>
      <c r="F441" s="22">
        <f>SUM(F442:F444)</f>
        <v>-3175</v>
      </c>
      <c r="G441" s="22">
        <v>0</v>
      </c>
      <c r="H441" s="23">
        <f t="shared" si="126"/>
        <v>-3175</v>
      </c>
      <c r="I441" s="23">
        <f aca="true" t="shared" si="129" ref="I441:K451">C441+F441</f>
        <v>902472</v>
      </c>
      <c r="J441" s="23">
        <f t="shared" si="129"/>
        <v>659512</v>
      </c>
      <c r="K441" s="23">
        <f t="shared" si="129"/>
        <v>1561984</v>
      </c>
    </row>
    <row r="442" spans="1:11" s="34" customFormat="1" ht="13.5" customHeight="1">
      <c r="A442" s="33" t="s">
        <v>36</v>
      </c>
      <c r="B442" s="34" t="s">
        <v>37</v>
      </c>
      <c r="C442" s="35">
        <v>610815</v>
      </c>
      <c r="D442" s="35">
        <v>502003</v>
      </c>
      <c r="E442" s="36">
        <f t="shared" si="128"/>
        <v>1112818</v>
      </c>
      <c r="F442" s="37">
        <f>-2400</f>
        <v>-2400</v>
      </c>
      <c r="G442" s="37">
        <v>0</v>
      </c>
      <c r="H442" s="36">
        <f t="shared" si="126"/>
        <v>-2400</v>
      </c>
      <c r="I442" s="36">
        <f t="shared" si="129"/>
        <v>608415</v>
      </c>
      <c r="J442" s="36">
        <f t="shared" si="129"/>
        <v>502003</v>
      </c>
      <c r="K442" s="36">
        <f t="shared" si="129"/>
        <v>1110418</v>
      </c>
    </row>
    <row r="443" spans="1:11" s="39" customFormat="1" ht="13.5" customHeight="1">
      <c r="A443" s="33" t="s">
        <v>38</v>
      </c>
      <c r="B443" s="34" t="s">
        <v>39</v>
      </c>
      <c r="C443" s="37">
        <v>111000</v>
      </c>
      <c r="D443" s="37">
        <v>89909</v>
      </c>
      <c r="E443" s="36">
        <f t="shared" si="128"/>
        <v>200909</v>
      </c>
      <c r="F443" s="37">
        <f>-539</f>
        <v>-539</v>
      </c>
      <c r="G443" s="37">
        <v>0</v>
      </c>
      <c r="H443" s="36">
        <f t="shared" si="126"/>
        <v>-539</v>
      </c>
      <c r="I443" s="36">
        <f t="shared" si="129"/>
        <v>110461</v>
      </c>
      <c r="J443" s="36">
        <f t="shared" si="129"/>
        <v>89909</v>
      </c>
      <c r="K443" s="36">
        <f t="shared" si="129"/>
        <v>200370</v>
      </c>
    </row>
    <row r="444" spans="1:11" s="73" customFormat="1" ht="15" customHeight="1">
      <c r="A444" s="75" t="s">
        <v>42</v>
      </c>
      <c r="B444" s="76" t="s">
        <v>43</v>
      </c>
      <c r="C444" s="77">
        <v>15300</v>
      </c>
      <c r="D444" s="77">
        <v>10500</v>
      </c>
      <c r="E444" s="59">
        <f t="shared" si="128"/>
        <v>25800</v>
      </c>
      <c r="F444" s="77">
        <f>-236</f>
        <v>-236</v>
      </c>
      <c r="G444" s="77">
        <v>0</v>
      </c>
      <c r="H444" s="59">
        <f t="shared" si="126"/>
        <v>-236</v>
      </c>
      <c r="I444" s="59">
        <f t="shared" si="129"/>
        <v>15064</v>
      </c>
      <c r="J444" s="59">
        <f t="shared" si="129"/>
        <v>10500</v>
      </c>
      <c r="K444" s="59">
        <f t="shared" si="129"/>
        <v>25564</v>
      </c>
    </row>
    <row r="445" spans="1:11" s="80" customFormat="1" ht="14.25" customHeight="1">
      <c r="A445" s="79">
        <v>85410</v>
      </c>
      <c r="B445" s="80" t="s">
        <v>163</v>
      </c>
      <c r="C445" s="81">
        <v>777746</v>
      </c>
      <c r="D445" s="81">
        <v>0</v>
      </c>
      <c r="E445" s="49">
        <f t="shared" si="128"/>
        <v>777746</v>
      </c>
      <c r="F445" s="81">
        <f>SUM(F446:F451)</f>
        <v>-26165</v>
      </c>
      <c r="G445" s="81">
        <v>0</v>
      </c>
      <c r="H445" s="49">
        <f t="shared" si="126"/>
        <v>-26165</v>
      </c>
      <c r="I445" s="49">
        <f t="shared" si="129"/>
        <v>751581</v>
      </c>
      <c r="J445" s="49">
        <f t="shared" si="129"/>
        <v>0</v>
      </c>
      <c r="K445" s="49">
        <f t="shared" si="129"/>
        <v>751581</v>
      </c>
    </row>
    <row r="446" spans="1:11" s="84" customFormat="1" ht="14.25" customHeight="1">
      <c r="A446" s="86" t="s">
        <v>36</v>
      </c>
      <c r="B446" s="87" t="s">
        <v>160</v>
      </c>
      <c r="C446" s="85">
        <v>401500</v>
      </c>
      <c r="D446" s="85">
        <v>0</v>
      </c>
      <c r="E446" s="36">
        <f t="shared" si="128"/>
        <v>401500</v>
      </c>
      <c r="F446" s="88">
        <f>-5000</f>
        <v>-5000</v>
      </c>
      <c r="G446" s="88">
        <v>0</v>
      </c>
      <c r="H446" s="36">
        <f aca="true" t="shared" si="130" ref="H446:H451">F446+G446</f>
        <v>-5000</v>
      </c>
      <c r="I446" s="36">
        <f t="shared" si="129"/>
        <v>396500</v>
      </c>
      <c r="J446" s="36">
        <f t="shared" si="129"/>
        <v>0</v>
      </c>
      <c r="K446" s="36">
        <f t="shared" si="129"/>
        <v>396500</v>
      </c>
    </row>
    <row r="447" spans="1:11" s="34" customFormat="1" ht="15" customHeight="1">
      <c r="A447" s="33" t="s">
        <v>20</v>
      </c>
      <c r="B447" s="34" t="s">
        <v>134</v>
      </c>
      <c r="C447" s="35">
        <v>34040</v>
      </c>
      <c r="D447" s="35">
        <v>0</v>
      </c>
      <c r="E447" s="36">
        <f t="shared" si="128"/>
        <v>34040</v>
      </c>
      <c r="F447" s="37">
        <v>1</v>
      </c>
      <c r="G447" s="37">
        <v>0</v>
      </c>
      <c r="H447" s="36">
        <f t="shared" si="130"/>
        <v>1</v>
      </c>
      <c r="I447" s="36">
        <f t="shared" si="129"/>
        <v>34041</v>
      </c>
      <c r="J447" s="36">
        <f t="shared" si="129"/>
        <v>0</v>
      </c>
      <c r="K447" s="36">
        <f>E447+H447</f>
        <v>34041</v>
      </c>
    </row>
    <row r="448" spans="1:11" s="84" customFormat="1" ht="14.25" customHeight="1">
      <c r="A448" s="86" t="s">
        <v>38</v>
      </c>
      <c r="B448" s="87" t="s">
        <v>39</v>
      </c>
      <c r="C448" s="88">
        <v>73000</v>
      </c>
      <c r="D448" s="88">
        <v>0</v>
      </c>
      <c r="E448" s="36">
        <f t="shared" si="128"/>
        <v>73000</v>
      </c>
      <c r="F448" s="88">
        <f>-1000</f>
        <v>-1000</v>
      </c>
      <c r="G448" s="88">
        <v>0</v>
      </c>
      <c r="H448" s="36">
        <f t="shared" si="130"/>
        <v>-1000</v>
      </c>
      <c r="I448" s="36">
        <f t="shared" si="129"/>
        <v>72000</v>
      </c>
      <c r="J448" s="36">
        <f t="shared" si="129"/>
        <v>0</v>
      </c>
      <c r="K448" s="36">
        <f t="shared" si="129"/>
        <v>72000</v>
      </c>
    </row>
    <row r="449" spans="1:11" s="90" customFormat="1" ht="14.25" customHeight="1">
      <c r="A449" s="89" t="s">
        <v>42</v>
      </c>
      <c r="B449" s="90" t="s">
        <v>43</v>
      </c>
      <c r="C449" s="91">
        <v>10300</v>
      </c>
      <c r="D449" s="91">
        <v>0</v>
      </c>
      <c r="E449" s="26">
        <f t="shared" si="128"/>
        <v>10300</v>
      </c>
      <c r="F449" s="91">
        <f>-300</f>
        <v>-300</v>
      </c>
      <c r="G449" s="91">
        <v>0</v>
      </c>
      <c r="H449" s="26">
        <f t="shared" si="130"/>
        <v>-300</v>
      </c>
      <c r="I449" s="26">
        <f t="shared" si="129"/>
        <v>10000</v>
      </c>
      <c r="J449" s="26">
        <f t="shared" si="129"/>
        <v>0</v>
      </c>
      <c r="K449" s="26">
        <f t="shared" si="129"/>
        <v>10000</v>
      </c>
    </row>
    <row r="450" spans="1:11" s="84" customFormat="1" ht="14.25" customHeight="1">
      <c r="A450" s="86" t="s">
        <v>40</v>
      </c>
      <c r="B450" s="87" t="s">
        <v>41</v>
      </c>
      <c r="C450" s="88">
        <v>25787</v>
      </c>
      <c r="D450" s="88">
        <v>0</v>
      </c>
      <c r="E450" s="36">
        <f t="shared" si="128"/>
        <v>25787</v>
      </c>
      <c r="F450" s="88">
        <v>19875</v>
      </c>
      <c r="G450" s="88">
        <v>0</v>
      </c>
      <c r="H450" s="36">
        <f t="shared" si="130"/>
        <v>19875</v>
      </c>
      <c r="I450" s="36">
        <f t="shared" si="129"/>
        <v>45662</v>
      </c>
      <c r="J450" s="36">
        <f t="shared" si="129"/>
        <v>0</v>
      </c>
      <c r="K450" s="36">
        <f t="shared" si="129"/>
        <v>45662</v>
      </c>
    </row>
    <row r="451" spans="1:11" s="134" customFormat="1" ht="14.25" customHeight="1">
      <c r="A451" s="97" t="s">
        <v>21</v>
      </c>
      <c r="B451" s="98" t="s">
        <v>22</v>
      </c>
      <c r="C451" s="132">
        <v>129741</v>
      </c>
      <c r="D451" s="132">
        <v>0</v>
      </c>
      <c r="E451" s="44">
        <f t="shared" si="128"/>
        <v>129741</v>
      </c>
      <c r="F451" s="99">
        <f>-14741-25000</f>
        <v>-39741</v>
      </c>
      <c r="G451" s="99">
        <v>0</v>
      </c>
      <c r="H451" s="44">
        <f t="shared" si="130"/>
        <v>-39741</v>
      </c>
      <c r="I451" s="44">
        <f t="shared" si="129"/>
        <v>90000</v>
      </c>
      <c r="J451" s="44">
        <f t="shared" si="129"/>
        <v>0</v>
      </c>
      <c r="K451" s="44">
        <f t="shared" si="129"/>
        <v>90000</v>
      </c>
    </row>
    <row r="515" spans="1:11" s="72" customFormat="1" ht="15" customHeight="1">
      <c r="A515" s="2" t="s">
        <v>64</v>
      </c>
      <c r="B515" s="13" t="s">
        <v>65</v>
      </c>
      <c r="C515" s="14">
        <v>0</v>
      </c>
      <c r="D515" s="14">
        <v>0</v>
      </c>
      <c r="E515" s="5">
        <f>SUM(C515:D515)</f>
        <v>0</v>
      </c>
      <c r="F515" s="14">
        <f>F518+F520+F522+F524</f>
        <v>0</v>
      </c>
      <c r="G515" s="14">
        <v>0</v>
      </c>
      <c r="H515" s="5">
        <f>F515+G515</f>
        <v>0</v>
      </c>
      <c r="I515" s="5">
        <f>C515+F515</f>
        <v>0</v>
      </c>
      <c r="J515" s="5">
        <f>D515+G515</f>
        <v>0</v>
      </c>
      <c r="K515" s="5">
        <f>E515+H515</f>
        <v>0</v>
      </c>
    </row>
    <row r="516" spans="1:11" s="60" customFormat="1" ht="15" customHeight="1">
      <c r="A516" s="15"/>
      <c r="B516" s="16" t="s">
        <v>12</v>
      </c>
      <c r="C516" s="17"/>
      <c r="D516" s="17"/>
      <c r="E516" s="8"/>
      <c r="F516" s="17"/>
      <c r="G516" s="17"/>
      <c r="H516" s="8"/>
      <c r="I516" s="8"/>
      <c r="J516" s="8"/>
      <c r="K516" s="8"/>
    </row>
    <row r="517" spans="1:11" s="73" customFormat="1" ht="15" customHeight="1">
      <c r="A517" s="18"/>
      <c r="B517" s="19" t="s">
        <v>13</v>
      </c>
      <c r="C517" s="20">
        <v>0</v>
      </c>
      <c r="D517" s="20">
        <v>0</v>
      </c>
      <c r="E517" s="11">
        <f aca="true" t="shared" si="131" ref="E517:E525">SUM(C517:D517)</f>
        <v>0</v>
      </c>
      <c r="F517" s="20">
        <v>0</v>
      </c>
      <c r="G517" s="20">
        <v>0</v>
      </c>
      <c r="H517" s="11">
        <f aca="true" t="shared" si="132" ref="H517:H525">F517+G517</f>
        <v>0</v>
      </c>
      <c r="I517" s="11">
        <f aca="true" t="shared" si="133" ref="I517:K525">C517+F517</f>
        <v>0</v>
      </c>
      <c r="J517" s="11">
        <f t="shared" si="133"/>
        <v>0</v>
      </c>
      <c r="K517" s="11">
        <f t="shared" si="133"/>
        <v>0</v>
      </c>
    </row>
    <row r="518" spans="1:11" s="28" customFormat="1" ht="15" customHeight="1">
      <c r="A518" s="27">
        <v>92109</v>
      </c>
      <c r="B518" s="28" t="s">
        <v>66</v>
      </c>
      <c r="C518" s="22">
        <v>0</v>
      </c>
      <c r="D518" s="22">
        <v>0</v>
      </c>
      <c r="E518" s="23">
        <f t="shared" si="131"/>
        <v>0</v>
      </c>
      <c r="F518" s="29">
        <f>SUM(F519:F519)</f>
        <v>0</v>
      </c>
      <c r="G518" s="29">
        <f>SUM(G519:G519)</f>
        <v>0</v>
      </c>
      <c r="H518" s="23">
        <f t="shared" si="132"/>
        <v>0</v>
      </c>
      <c r="I518" s="23">
        <f t="shared" si="133"/>
        <v>0</v>
      </c>
      <c r="J518" s="23">
        <f t="shared" si="133"/>
        <v>0</v>
      </c>
      <c r="K518" s="23">
        <f t="shared" si="133"/>
        <v>0</v>
      </c>
    </row>
    <row r="519" spans="1:11" s="31" customFormat="1" ht="15" customHeight="1">
      <c r="A519" s="30" t="s">
        <v>67</v>
      </c>
      <c r="B519" s="31" t="s">
        <v>68</v>
      </c>
      <c r="C519" s="25">
        <v>0</v>
      </c>
      <c r="D519" s="25">
        <v>0</v>
      </c>
      <c r="E519" s="26">
        <f t="shared" si="131"/>
        <v>0</v>
      </c>
      <c r="F519" s="32">
        <v>0</v>
      </c>
      <c r="G519" s="32">
        <v>0</v>
      </c>
      <c r="H519" s="26">
        <f t="shared" si="132"/>
        <v>0</v>
      </c>
      <c r="I519" s="26">
        <f t="shared" si="133"/>
        <v>0</v>
      </c>
      <c r="J519" s="26">
        <f t="shared" si="133"/>
        <v>0</v>
      </c>
      <c r="K519" s="26">
        <f t="shared" si="133"/>
        <v>0</v>
      </c>
    </row>
    <row r="520" spans="1:11" s="28" customFormat="1" ht="15" customHeight="1">
      <c r="A520" s="27">
        <v>92110</v>
      </c>
      <c r="B520" s="28" t="s">
        <v>82</v>
      </c>
      <c r="C520" s="22">
        <v>0</v>
      </c>
      <c r="D520" s="22">
        <v>0</v>
      </c>
      <c r="E520" s="23">
        <f t="shared" si="131"/>
        <v>0</v>
      </c>
      <c r="F520" s="29">
        <f>SUM(F521:F521)</f>
        <v>0</v>
      </c>
      <c r="G520" s="29">
        <f>SUM(G521:G521)</f>
        <v>0</v>
      </c>
      <c r="H520" s="23">
        <f t="shared" si="132"/>
        <v>0</v>
      </c>
      <c r="I520" s="23">
        <f t="shared" si="133"/>
        <v>0</v>
      </c>
      <c r="J520" s="23">
        <f t="shared" si="133"/>
        <v>0</v>
      </c>
      <c r="K520" s="23">
        <f t="shared" si="133"/>
        <v>0</v>
      </c>
    </row>
    <row r="521" spans="1:11" s="31" customFormat="1" ht="15" customHeight="1">
      <c r="A521" s="30" t="s">
        <v>67</v>
      </c>
      <c r="B521" s="31" t="s">
        <v>68</v>
      </c>
      <c r="C521" s="25">
        <v>0</v>
      </c>
      <c r="D521" s="25">
        <v>0</v>
      </c>
      <c r="E521" s="26">
        <f t="shared" si="131"/>
        <v>0</v>
      </c>
      <c r="F521" s="32">
        <v>0</v>
      </c>
      <c r="G521" s="32">
        <v>0</v>
      </c>
      <c r="H521" s="26">
        <f t="shared" si="132"/>
        <v>0</v>
      </c>
      <c r="I521" s="26">
        <f t="shared" si="133"/>
        <v>0</v>
      </c>
      <c r="J521" s="26">
        <f t="shared" si="133"/>
        <v>0</v>
      </c>
      <c r="K521" s="26">
        <f t="shared" si="133"/>
        <v>0</v>
      </c>
    </row>
    <row r="522" spans="1:11" s="28" customFormat="1" ht="15" customHeight="1">
      <c r="A522" s="27">
        <v>92116</v>
      </c>
      <c r="B522" s="28" t="s">
        <v>83</v>
      </c>
      <c r="C522" s="22">
        <v>0</v>
      </c>
      <c r="D522" s="22">
        <v>0</v>
      </c>
      <c r="E522" s="23">
        <f t="shared" si="131"/>
        <v>0</v>
      </c>
      <c r="F522" s="29">
        <f>SUM(F523:F523)</f>
        <v>0</v>
      </c>
      <c r="G522" s="29">
        <f>SUM(G523:G523)</f>
        <v>0</v>
      </c>
      <c r="H522" s="23">
        <f t="shared" si="132"/>
        <v>0</v>
      </c>
      <c r="I522" s="23">
        <f t="shared" si="133"/>
        <v>0</v>
      </c>
      <c r="J522" s="23">
        <f t="shared" si="133"/>
        <v>0</v>
      </c>
      <c r="K522" s="23">
        <f t="shared" si="133"/>
        <v>0</v>
      </c>
    </row>
    <row r="523" spans="1:11" s="31" customFormat="1" ht="15" customHeight="1">
      <c r="A523" s="30" t="s">
        <v>67</v>
      </c>
      <c r="B523" s="31" t="s">
        <v>68</v>
      </c>
      <c r="C523" s="25">
        <v>0</v>
      </c>
      <c r="D523" s="25">
        <v>0</v>
      </c>
      <c r="E523" s="26">
        <f t="shared" si="131"/>
        <v>0</v>
      </c>
      <c r="F523" s="32">
        <v>0</v>
      </c>
      <c r="G523" s="32">
        <v>0</v>
      </c>
      <c r="H523" s="26">
        <f t="shared" si="132"/>
        <v>0</v>
      </c>
      <c r="I523" s="26">
        <f t="shared" si="133"/>
        <v>0</v>
      </c>
      <c r="J523" s="26">
        <f t="shared" si="133"/>
        <v>0</v>
      </c>
      <c r="K523" s="26">
        <f t="shared" si="133"/>
        <v>0</v>
      </c>
    </row>
    <row r="524" spans="1:11" s="28" customFormat="1" ht="15" customHeight="1">
      <c r="A524" s="27">
        <v>92118</v>
      </c>
      <c r="B524" s="28" t="s">
        <v>84</v>
      </c>
      <c r="C524" s="22">
        <v>0</v>
      </c>
      <c r="D524" s="22">
        <v>0</v>
      </c>
      <c r="E524" s="23">
        <f t="shared" si="131"/>
        <v>0</v>
      </c>
      <c r="F524" s="29">
        <f>SUM(F525:F525)</f>
        <v>0</v>
      </c>
      <c r="G524" s="29">
        <f>SUM(G525:G525)</f>
        <v>0</v>
      </c>
      <c r="H524" s="23">
        <f t="shared" si="132"/>
        <v>0</v>
      </c>
      <c r="I524" s="23">
        <f t="shared" si="133"/>
        <v>0</v>
      </c>
      <c r="J524" s="23">
        <f t="shared" si="133"/>
        <v>0</v>
      </c>
      <c r="K524" s="23">
        <f t="shared" si="133"/>
        <v>0</v>
      </c>
    </row>
    <row r="525" spans="1:11" s="76" customFormat="1" ht="15" customHeight="1">
      <c r="A525" s="75" t="s">
        <v>67</v>
      </c>
      <c r="B525" s="76" t="s">
        <v>68</v>
      </c>
      <c r="C525" s="58">
        <v>0</v>
      </c>
      <c r="D525" s="58">
        <v>0</v>
      </c>
      <c r="E525" s="59">
        <f t="shared" si="131"/>
        <v>0</v>
      </c>
      <c r="F525" s="77">
        <v>0</v>
      </c>
      <c r="G525" s="77">
        <v>0</v>
      </c>
      <c r="H525" s="59">
        <f t="shared" si="132"/>
        <v>0</v>
      </c>
      <c r="I525" s="59">
        <f t="shared" si="133"/>
        <v>0</v>
      </c>
      <c r="J525" s="59">
        <f t="shared" si="133"/>
        <v>0</v>
      </c>
      <c r="K525" s="59">
        <f t="shared" si="133"/>
        <v>0</v>
      </c>
    </row>
  </sheetData>
  <mergeCells count="12">
    <mergeCell ref="A12:K12"/>
    <mergeCell ref="A254:K254"/>
    <mergeCell ref="A5:K5"/>
    <mergeCell ref="A6:A7"/>
    <mergeCell ref="B6:B7"/>
    <mergeCell ref="C6:E6"/>
    <mergeCell ref="F6:H6"/>
    <mergeCell ref="I6:K6"/>
    <mergeCell ref="I1:K1"/>
    <mergeCell ref="I2:K2"/>
    <mergeCell ref="I3:K3"/>
    <mergeCell ref="I4:K4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G35" sqref="G35"/>
    </sheetView>
  </sheetViews>
  <sheetFormatPr defaultColWidth="9.140625" defaultRowHeight="12.75"/>
  <cols>
    <col min="1" max="1" width="11.57421875" style="0" customWidth="1"/>
    <col min="2" max="2" width="36.140625" style="0" customWidth="1"/>
    <col min="3" max="3" width="11.57421875" style="0" customWidth="1"/>
    <col min="4" max="4" width="11.140625" style="0" customWidth="1"/>
    <col min="5" max="5" width="11.57421875" style="0" customWidth="1"/>
    <col min="6" max="6" width="10.140625" style="0" bestFit="1" customWidth="1"/>
    <col min="7" max="7" width="9.421875" style="0" bestFit="1" customWidth="1"/>
    <col min="8" max="8" width="10.28125" style="0" customWidth="1"/>
    <col min="9" max="9" width="11.28125" style="0" customWidth="1"/>
    <col min="10" max="10" width="10.421875" style="0" customWidth="1"/>
    <col min="11" max="11" width="11.421875" style="0" customWidth="1"/>
  </cols>
  <sheetData>
    <row r="1" spans="9:11" ht="12.75" customHeight="1">
      <c r="I1" s="145" t="s">
        <v>185</v>
      </c>
      <c r="J1" s="145"/>
      <c r="K1" s="145"/>
    </row>
    <row r="2" spans="7:11" ht="12.75" customHeight="1">
      <c r="G2" s="135"/>
      <c r="I2" s="145" t="s">
        <v>105</v>
      </c>
      <c r="J2" s="145"/>
      <c r="K2" s="145"/>
    </row>
    <row r="3" spans="9:11" ht="12.75" customHeight="1">
      <c r="I3" s="145" t="s">
        <v>106</v>
      </c>
      <c r="J3" s="145"/>
      <c r="K3" s="145"/>
    </row>
    <row r="4" spans="9:11" ht="12.75" customHeight="1">
      <c r="I4" s="145" t="s">
        <v>0</v>
      </c>
      <c r="J4" s="145"/>
      <c r="K4" s="145"/>
    </row>
    <row r="5" spans="1:11" ht="45" customHeight="1">
      <c r="A5" s="152" t="s">
        <v>222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8" customHeight="1">
      <c r="A6" s="153" t="s">
        <v>2</v>
      </c>
      <c r="B6" s="153" t="s">
        <v>3</v>
      </c>
      <c r="C6" s="154" t="s">
        <v>4</v>
      </c>
      <c r="D6" s="154"/>
      <c r="E6" s="154"/>
      <c r="F6" s="154" t="s">
        <v>5</v>
      </c>
      <c r="G6" s="154"/>
      <c r="H6" s="154"/>
      <c r="I6" s="154" t="s">
        <v>6</v>
      </c>
      <c r="J6" s="154"/>
      <c r="K6" s="154"/>
    </row>
    <row r="7" spans="1:11" ht="15" customHeight="1">
      <c r="A7" s="153"/>
      <c r="B7" s="153"/>
      <c r="C7" s="1" t="s">
        <v>7</v>
      </c>
      <c r="D7" s="1" t="s">
        <v>8</v>
      </c>
      <c r="E7" s="1" t="s">
        <v>9</v>
      </c>
      <c r="F7" s="1" t="s">
        <v>7</v>
      </c>
      <c r="G7" s="1" t="s">
        <v>8</v>
      </c>
      <c r="H7" s="1" t="s">
        <v>9</v>
      </c>
      <c r="I7" s="1" t="s">
        <v>7</v>
      </c>
      <c r="J7" s="1" t="s">
        <v>8</v>
      </c>
      <c r="K7" s="1" t="s">
        <v>9</v>
      </c>
    </row>
    <row r="8" spans="1:11" ht="12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s="6" customFormat="1" ht="30.75" customHeight="1">
      <c r="A9" s="3" t="s">
        <v>10</v>
      </c>
      <c r="B9" s="4" t="s">
        <v>11</v>
      </c>
      <c r="C9" s="5">
        <v>185330801</v>
      </c>
      <c r="D9" s="5">
        <v>31338531</v>
      </c>
      <c r="E9" s="5">
        <f>SUM(C9:D9)</f>
        <v>216669332</v>
      </c>
      <c r="F9" s="5">
        <f>F13+F17</f>
        <v>-1762809</v>
      </c>
      <c r="G9" s="5">
        <f>G13+G17</f>
        <v>3642</v>
      </c>
      <c r="H9" s="5">
        <f>SUM(F9:G9)</f>
        <v>-1759167</v>
      </c>
      <c r="I9" s="5">
        <f>C9+F9</f>
        <v>183567992</v>
      </c>
      <c r="J9" s="5">
        <f>D9+G9</f>
        <v>31342173</v>
      </c>
      <c r="K9" s="5">
        <f>E9+H9</f>
        <v>214910165</v>
      </c>
    </row>
    <row r="10" spans="1:11" s="9" customFormat="1" ht="15" customHeight="1">
      <c r="A10" s="7"/>
      <c r="B10" s="7" t="s">
        <v>12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12" customFormat="1" ht="15" customHeight="1">
      <c r="A11" s="10"/>
      <c r="B11" s="10" t="s">
        <v>13</v>
      </c>
      <c r="C11" s="11">
        <v>34627305</v>
      </c>
      <c r="D11" s="11">
        <v>822614</v>
      </c>
      <c r="E11" s="11">
        <f>SUM(C11:D11)</f>
        <v>35449919</v>
      </c>
      <c r="F11" s="11">
        <f>F15+F19</f>
        <v>-660052</v>
      </c>
      <c r="G11" s="11">
        <f>G15+G19</f>
        <v>-8000</v>
      </c>
      <c r="H11" s="11">
        <f>SUM(F11:G11)</f>
        <v>-668052</v>
      </c>
      <c r="I11" s="11">
        <f>C11+F11</f>
        <v>33967253</v>
      </c>
      <c r="J11" s="11">
        <f>D11+G11</f>
        <v>814614</v>
      </c>
      <c r="K11" s="11">
        <f>E11+H11</f>
        <v>34781867</v>
      </c>
    </row>
    <row r="12" spans="1:11" ht="23.25" customHeight="1">
      <c r="A12" s="146" t="s">
        <v>14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</row>
    <row r="13" spans="1:11" s="6" customFormat="1" ht="13.5" customHeight="1">
      <c r="A13" s="2" t="s">
        <v>15</v>
      </c>
      <c r="B13" s="13" t="s">
        <v>16</v>
      </c>
      <c r="C13" s="14">
        <v>129518199</v>
      </c>
      <c r="D13" s="14">
        <v>22051239</v>
      </c>
      <c r="E13" s="5">
        <f>SUM(C13:D13)</f>
        <v>151569438</v>
      </c>
      <c r="F13" s="14">
        <v>-1359287</v>
      </c>
      <c r="G13" s="14">
        <v>0</v>
      </c>
      <c r="H13" s="5">
        <f>SUM(F13:G13)</f>
        <v>-1359287</v>
      </c>
      <c r="I13" s="5">
        <f>C13+F13</f>
        <v>128158912</v>
      </c>
      <c r="J13" s="5">
        <f>D13+G13</f>
        <v>22051239</v>
      </c>
      <c r="K13" s="5">
        <f>E13+H13</f>
        <v>150210151</v>
      </c>
    </row>
    <row r="14" spans="1:11" s="9" customFormat="1" ht="15" customHeight="1">
      <c r="A14" s="15"/>
      <c r="B14" s="16" t="s">
        <v>17</v>
      </c>
      <c r="C14" s="17"/>
      <c r="D14" s="17"/>
      <c r="E14" s="17"/>
      <c r="F14" s="17"/>
      <c r="G14" s="17"/>
      <c r="H14" s="8"/>
      <c r="I14" s="8"/>
      <c r="J14" s="8"/>
      <c r="K14" s="8"/>
    </row>
    <row r="15" spans="1:11" s="12" customFormat="1" ht="15" customHeight="1">
      <c r="A15" s="18"/>
      <c r="B15" s="19" t="s">
        <v>13</v>
      </c>
      <c r="C15" s="20">
        <v>29985375</v>
      </c>
      <c r="D15" s="20">
        <v>527478</v>
      </c>
      <c r="E15" s="11">
        <f>SUM(C15:D15)</f>
        <v>30512853</v>
      </c>
      <c r="F15" s="20">
        <v>-466464</v>
      </c>
      <c r="G15" s="20">
        <v>0</v>
      </c>
      <c r="H15" s="11">
        <f>SUM(F15:G15)</f>
        <v>-466464</v>
      </c>
      <c r="I15" s="11">
        <f>C15+F15</f>
        <v>29518911</v>
      </c>
      <c r="J15" s="11">
        <f>D15+G15</f>
        <v>527478</v>
      </c>
      <c r="K15" s="11">
        <f>E15+H15</f>
        <v>30046389</v>
      </c>
    </row>
    <row r="16" spans="1:11" s="74" customFormat="1" ht="24" customHeight="1">
      <c r="A16" s="149" t="s">
        <v>69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s="72" customFormat="1" ht="15" customHeight="1">
      <c r="A17" s="2" t="s">
        <v>70</v>
      </c>
      <c r="B17" s="13" t="s">
        <v>16</v>
      </c>
      <c r="C17" s="14">
        <v>55812602</v>
      </c>
      <c r="D17" s="14">
        <v>9287292</v>
      </c>
      <c r="E17" s="5">
        <f>SUM(C17:D17)</f>
        <v>65099894</v>
      </c>
      <c r="F17" s="14">
        <v>-403522</v>
      </c>
      <c r="G17" s="14">
        <v>3642</v>
      </c>
      <c r="H17" s="5">
        <f>F17+G17</f>
        <v>-399880</v>
      </c>
      <c r="I17" s="5">
        <f>C17+F17</f>
        <v>55409080</v>
      </c>
      <c r="J17" s="5">
        <f>D17+G17</f>
        <v>9290934</v>
      </c>
      <c r="K17" s="5">
        <f>E17+H17</f>
        <v>64700014</v>
      </c>
    </row>
    <row r="18" spans="1:11" s="60" customFormat="1" ht="13.5" customHeight="1">
      <c r="A18" s="15"/>
      <c r="B18" s="16" t="s">
        <v>17</v>
      </c>
      <c r="C18" s="17"/>
      <c r="D18" s="17"/>
      <c r="E18" s="17"/>
      <c r="F18" s="17"/>
      <c r="G18" s="17"/>
      <c r="H18" s="8"/>
      <c r="I18" s="8"/>
      <c r="J18" s="8"/>
      <c r="K18" s="8"/>
    </row>
    <row r="19" spans="1:11" s="73" customFormat="1" ht="15" customHeight="1">
      <c r="A19" s="18"/>
      <c r="B19" s="19" t="s">
        <v>13</v>
      </c>
      <c r="C19" s="20">
        <v>4641930</v>
      </c>
      <c r="D19" s="20">
        <v>295136</v>
      </c>
      <c r="E19" s="11">
        <f>SUM(C19:D19)</f>
        <v>4937066</v>
      </c>
      <c r="F19" s="20">
        <v>-193588</v>
      </c>
      <c r="G19" s="20">
        <v>-8000</v>
      </c>
      <c r="H19" s="11">
        <f>F19+G19</f>
        <v>-201588</v>
      </c>
      <c r="I19" s="11">
        <f aca="true" t="shared" si="0" ref="I19:K20">C19+F19</f>
        <v>4448342</v>
      </c>
      <c r="J19" s="11">
        <f t="shared" si="0"/>
        <v>287136</v>
      </c>
      <c r="K19" s="11">
        <f t="shared" si="0"/>
        <v>4735478</v>
      </c>
    </row>
    <row r="20" spans="1:11" s="6" customFormat="1" ht="15" customHeight="1">
      <c r="A20" s="2" t="s">
        <v>33</v>
      </c>
      <c r="B20" s="13" t="s">
        <v>34</v>
      </c>
      <c r="C20" s="14">
        <v>31464954</v>
      </c>
      <c r="D20" s="14">
        <v>2900</v>
      </c>
      <c r="E20" s="5">
        <f>SUM(C20:D20)</f>
        <v>31467854</v>
      </c>
      <c r="F20" s="14">
        <v>37004</v>
      </c>
      <c r="G20" s="14">
        <v>11642</v>
      </c>
      <c r="H20" s="5">
        <f>F20+G20</f>
        <v>48646</v>
      </c>
      <c r="I20" s="5">
        <f t="shared" si="0"/>
        <v>31501958</v>
      </c>
      <c r="J20" s="5">
        <f t="shared" si="0"/>
        <v>14542</v>
      </c>
      <c r="K20" s="5">
        <f t="shared" si="0"/>
        <v>31516500</v>
      </c>
    </row>
    <row r="21" spans="1:11" s="9" customFormat="1" ht="15" customHeight="1">
      <c r="A21" s="15"/>
      <c r="B21" s="16" t="s">
        <v>12</v>
      </c>
      <c r="C21" s="17"/>
      <c r="D21" s="17"/>
      <c r="E21" s="8"/>
      <c r="F21" s="17"/>
      <c r="G21" s="17"/>
      <c r="H21" s="8"/>
      <c r="I21" s="8"/>
      <c r="J21" s="8"/>
      <c r="K21" s="8"/>
    </row>
    <row r="22" spans="1:11" s="12" customFormat="1" ht="15" customHeight="1">
      <c r="A22" s="18"/>
      <c r="B22" s="19" t="s">
        <v>13</v>
      </c>
      <c r="C22" s="20">
        <v>512668</v>
      </c>
      <c r="D22" s="20">
        <v>0</v>
      </c>
      <c r="E22" s="11">
        <f>SUM(C22:D22)</f>
        <v>512668</v>
      </c>
      <c r="F22" s="20">
        <v>0</v>
      </c>
      <c r="G22" s="20">
        <v>0</v>
      </c>
      <c r="H22" s="11">
        <f>F22+G22</f>
        <v>0</v>
      </c>
      <c r="I22" s="11">
        <f>C22+F22</f>
        <v>512668</v>
      </c>
      <c r="J22" s="11">
        <f>D22+G22</f>
        <v>0</v>
      </c>
      <c r="K22" s="11">
        <f>E22+H22</f>
        <v>512668</v>
      </c>
    </row>
    <row r="23" spans="1:11" s="80" customFormat="1" ht="15" customHeight="1">
      <c r="A23" s="126">
        <v>80195</v>
      </c>
      <c r="B23" s="127" t="s">
        <v>110</v>
      </c>
      <c r="C23" s="128">
        <v>216455</v>
      </c>
      <c r="D23" s="128">
        <v>2900</v>
      </c>
      <c r="E23" s="49">
        <f>SUM(C23:D23)</f>
        <v>219355</v>
      </c>
      <c r="F23" s="128">
        <f>SUM(F24:F40)</f>
        <v>-11642</v>
      </c>
      <c r="G23" s="128">
        <f>SUM(G24:G40)</f>
        <v>11642</v>
      </c>
      <c r="H23" s="49">
        <f aca="true" t="shared" si="1" ref="H23:H40">F23+G23</f>
        <v>0</v>
      </c>
      <c r="I23" s="49">
        <f aca="true" t="shared" si="2" ref="I23:K40">C23+F23</f>
        <v>204813</v>
      </c>
      <c r="J23" s="49">
        <f t="shared" si="2"/>
        <v>14542</v>
      </c>
      <c r="K23" s="49">
        <f>SUM(E23+H23)</f>
        <v>219355</v>
      </c>
    </row>
    <row r="24" spans="1:11" s="84" customFormat="1" ht="15" customHeight="1">
      <c r="A24" s="86" t="s">
        <v>36</v>
      </c>
      <c r="B24" s="87" t="s">
        <v>159</v>
      </c>
      <c r="C24" s="88">
        <v>1910</v>
      </c>
      <c r="D24" s="88">
        <v>0</v>
      </c>
      <c r="E24" s="36">
        <f>SUM(C24:D24)</f>
        <v>1910</v>
      </c>
      <c r="F24" s="88">
        <v>-1910</v>
      </c>
      <c r="G24" s="88">
        <v>0</v>
      </c>
      <c r="H24" s="36">
        <f t="shared" si="1"/>
        <v>-1910</v>
      </c>
      <c r="I24" s="36">
        <f t="shared" si="2"/>
        <v>0</v>
      </c>
      <c r="J24" s="36">
        <f t="shared" si="2"/>
        <v>0</v>
      </c>
      <c r="K24" s="36">
        <f>E24+H24</f>
        <v>0</v>
      </c>
    </row>
    <row r="25" spans="1:11" s="84" customFormat="1" ht="15" customHeight="1">
      <c r="A25" s="86" t="s">
        <v>205</v>
      </c>
      <c r="B25" s="87" t="s">
        <v>213</v>
      </c>
      <c r="C25" s="88">
        <v>0</v>
      </c>
      <c r="D25" s="88">
        <v>0</v>
      </c>
      <c r="E25" s="36">
        <f>SUM(C25:D25)</f>
        <v>0</v>
      </c>
      <c r="F25" s="88">
        <v>0</v>
      </c>
      <c r="G25" s="88">
        <v>1910</v>
      </c>
      <c r="H25" s="36">
        <f t="shared" si="1"/>
        <v>1910</v>
      </c>
      <c r="I25" s="36">
        <f t="shared" si="2"/>
        <v>0</v>
      </c>
      <c r="J25" s="36">
        <f t="shared" si="2"/>
        <v>1910</v>
      </c>
      <c r="K25" s="36">
        <f>E25+H25</f>
        <v>1910</v>
      </c>
    </row>
    <row r="26" spans="1:11" s="84" customFormat="1" ht="15" customHeight="1">
      <c r="A26" s="86" t="s">
        <v>38</v>
      </c>
      <c r="B26" s="87" t="s">
        <v>39</v>
      </c>
      <c r="C26" s="88">
        <v>19572</v>
      </c>
      <c r="D26" s="88">
        <v>0</v>
      </c>
      <c r="E26" s="36">
        <f aca="true" t="shared" si="3" ref="E26:E40">SUM(C26:D26)</f>
        <v>19572</v>
      </c>
      <c r="F26" s="88">
        <v>-332</v>
      </c>
      <c r="G26" s="88">
        <v>0</v>
      </c>
      <c r="H26" s="36">
        <f t="shared" si="1"/>
        <v>-332</v>
      </c>
      <c r="I26" s="36">
        <f t="shared" si="2"/>
        <v>19240</v>
      </c>
      <c r="J26" s="36">
        <f t="shared" si="2"/>
        <v>0</v>
      </c>
      <c r="K26" s="36">
        <f t="shared" si="2"/>
        <v>19240</v>
      </c>
    </row>
    <row r="27" spans="1:11" s="84" customFormat="1" ht="15" customHeight="1">
      <c r="A27" s="86" t="s">
        <v>206</v>
      </c>
      <c r="B27" s="87" t="s">
        <v>214</v>
      </c>
      <c r="C27" s="88">
        <v>0</v>
      </c>
      <c r="D27" s="88">
        <v>0</v>
      </c>
      <c r="E27" s="36">
        <f t="shared" si="3"/>
        <v>0</v>
      </c>
      <c r="F27" s="88">
        <v>0</v>
      </c>
      <c r="G27" s="88">
        <v>332</v>
      </c>
      <c r="H27" s="36">
        <f t="shared" si="1"/>
        <v>332</v>
      </c>
      <c r="I27" s="36">
        <f t="shared" si="2"/>
        <v>0</v>
      </c>
      <c r="J27" s="36">
        <f t="shared" si="2"/>
        <v>332</v>
      </c>
      <c r="K27" s="36">
        <f t="shared" si="2"/>
        <v>332</v>
      </c>
    </row>
    <row r="28" spans="1:11" s="84" customFormat="1" ht="15" customHeight="1">
      <c r="A28" s="86" t="s">
        <v>42</v>
      </c>
      <c r="B28" s="87" t="s">
        <v>43</v>
      </c>
      <c r="C28" s="88">
        <v>2807</v>
      </c>
      <c r="D28" s="88">
        <v>0</v>
      </c>
      <c r="E28" s="36">
        <f t="shared" si="3"/>
        <v>2807</v>
      </c>
      <c r="F28" s="88">
        <v>-47</v>
      </c>
      <c r="G28" s="88">
        <v>0</v>
      </c>
      <c r="H28" s="36">
        <f t="shared" si="1"/>
        <v>-47</v>
      </c>
      <c r="I28" s="36">
        <f t="shared" si="2"/>
        <v>2760</v>
      </c>
      <c r="J28" s="36">
        <f t="shared" si="2"/>
        <v>0</v>
      </c>
      <c r="K28" s="36">
        <f t="shared" si="2"/>
        <v>2760</v>
      </c>
    </row>
    <row r="29" spans="1:11" s="84" customFormat="1" ht="15" customHeight="1">
      <c r="A29" s="86" t="s">
        <v>229</v>
      </c>
      <c r="B29" s="87" t="s">
        <v>216</v>
      </c>
      <c r="C29" s="88">
        <v>0</v>
      </c>
      <c r="D29" s="88">
        <v>0</v>
      </c>
      <c r="E29" s="36">
        <f t="shared" si="3"/>
        <v>0</v>
      </c>
      <c r="F29" s="88">
        <v>0</v>
      </c>
      <c r="G29" s="88">
        <v>47</v>
      </c>
      <c r="H29" s="36">
        <f t="shared" si="1"/>
        <v>47</v>
      </c>
      <c r="I29" s="36">
        <f t="shared" si="2"/>
        <v>0</v>
      </c>
      <c r="J29" s="36">
        <f t="shared" si="2"/>
        <v>47</v>
      </c>
      <c r="K29" s="36">
        <f t="shared" si="2"/>
        <v>47</v>
      </c>
    </row>
    <row r="30" spans="1:11" s="84" customFormat="1" ht="15" customHeight="1">
      <c r="A30" s="86" t="s">
        <v>49</v>
      </c>
      <c r="B30" s="87" t="s">
        <v>50</v>
      </c>
      <c r="C30" s="88">
        <v>105750</v>
      </c>
      <c r="D30" s="88">
        <v>2600</v>
      </c>
      <c r="E30" s="36">
        <f>SUM(C30:D30)</f>
        <v>108350</v>
      </c>
      <c r="F30" s="88">
        <v>0</v>
      </c>
      <c r="G30" s="88">
        <v>300</v>
      </c>
      <c r="H30" s="36">
        <f>SUM(F30:G30)</f>
        <v>300</v>
      </c>
      <c r="I30" s="36">
        <f>C30+F30</f>
        <v>105750</v>
      </c>
      <c r="J30" s="36">
        <f>D30+G30</f>
        <v>2900</v>
      </c>
      <c r="K30" s="36">
        <f>E30+H30</f>
        <v>108650</v>
      </c>
    </row>
    <row r="31" spans="1:11" s="84" customFormat="1" ht="15" customHeight="1">
      <c r="A31" s="86" t="s">
        <v>40</v>
      </c>
      <c r="B31" s="87" t="s">
        <v>41</v>
      </c>
      <c r="C31" s="88">
        <v>8270</v>
      </c>
      <c r="D31" s="88">
        <v>0</v>
      </c>
      <c r="E31" s="36">
        <f t="shared" si="3"/>
        <v>8270</v>
      </c>
      <c r="F31" s="88">
        <v>-8270</v>
      </c>
      <c r="G31" s="88">
        <v>0</v>
      </c>
      <c r="H31" s="36">
        <f t="shared" si="1"/>
        <v>-8270</v>
      </c>
      <c r="I31" s="36">
        <f t="shared" si="2"/>
        <v>0</v>
      </c>
      <c r="J31" s="36">
        <f t="shared" si="2"/>
        <v>0</v>
      </c>
      <c r="K31" s="36">
        <f t="shared" si="2"/>
        <v>0</v>
      </c>
    </row>
    <row r="32" spans="1:11" s="84" customFormat="1" ht="15" customHeight="1">
      <c r="A32" s="86" t="s">
        <v>209</v>
      </c>
      <c r="B32" s="87" t="s">
        <v>217</v>
      </c>
      <c r="C32" s="88">
        <v>0</v>
      </c>
      <c r="D32" s="88">
        <v>0</v>
      </c>
      <c r="E32" s="36">
        <f t="shared" si="3"/>
        <v>0</v>
      </c>
      <c r="F32" s="88">
        <v>0</v>
      </c>
      <c r="G32" s="88">
        <f>5946</f>
        <v>5946</v>
      </c>
      <c r="H32" s="36">
        <f t="shared" si="1"/>
        <v>5946</v>
      </c>
      <c r="I32" s="36">
        <f t="shared" si="2"/>
        <v>0</v>
      </c>
      <c r="J32" s="36">
        <f t="shared" si="2"/>
        <v>5946</v>
      </c>
      <c r="K32" s="36">
        <f t="shared" si="2"/>
        <v>5946</v>
      </c>
    </row>
    <row r="33" spans="1:11" s="84" customFormat="1" ht="15" customHeight="1">
      <c r="A33" s="86" t="s">
        <v>210</v>
      </c>
      <c r="B33" s="87" t="s">
        <v>226</v>
      </c>
      <c r="C33" s="88">
        <v>0</v>
      </c>
      <c r="D33" s="88">
        <v>0</v>
      </c>
      <c r="E33" s="36">
        <f t="shared" si="3"/>
        <v>0</v>
      </c>
      <c r="F33" s="88">
        <v>2324</v>
      </c>
      <c r="G33" s="88">
        <v>0</v>
      </c>
      <c r="H33" s="36">
        <f t="shared" si="1"/>
        <v>2324</v>
      </c>
      <c r="I33" s="36">
        <f t="shared" si="2"/>
        <v>2324</v>
      </c>
      <c r="J33" s="36">
        <f t="shared" si="2"/>
        <v>0</v>
      </c>
      <c r="K33" s="36">
        <f t="shared" si="2"/>
        <v>2324</v>
      </c>
    </row>
    <row r="34" spans="1:11" s="84" customFormat="1" ht="15" customHeight="1">
      <c r="A34" s="83" t="s">
        <v>27</v>
      </c>
      <c r="B34" s="84" t="s">
        <v>28</v>
      </c>
      <c r="C34" s="85">
        <v>7854</v>
      </c>
      <c r="D34" s="85">
        <v>300</v>
      </c>
      <c r="E34" s="36">
        <f t="shared" si="3"/>
        <v>8154</v>
      </c>
      <c r="F34" s="85">
        <v>-7854</v>
      </c>
      <c r="G34" s="85">
        <v>-300</v>
      </c>
      <c r="H34" s="36">
        <f t="shared" si="1"/>
        <v>-8154</v>
      </c>
      <c r="I34" s="36">
        <f t="shared" si="2"/>
        <v>0</v>
      </c>
      <c r="J34" s="36">
        <f t="shared" si="2"/>
        <v>0</v>
      </c>
      <c r="K34" s="36">
        <f t="shared" si="2"/>
        <v>0</v>
      </c>
    </row>
    <row r="35" spans="1:11" s="84" customFormat="1" ht="15" customHeight="1">
      <c r="A35" s="83" t="s">
        <v>207</v>
      </c>
      <c r="B35" s="84" t="s">
        <v>218</v>
      </c>
      <c r="C35" s="85">
        <v>0</v>
      </c>
      <c r="D35" s="85">
        <v>0</v>
      </c>
      <c r="E35" s="36">
        <f t="shared" si="3"/>
        <v>0</v>
      </c>
      <c r="F35" s="85">
        <v>0</v>
      </c>
      <c r="G35" s="85">
        <v>3346</v>
      </c>
      <c r="H35" s="36">
        <f t="shared" si="1"/>
        <v>3346</v>
      </c>
      <c r="I35" s="36">
        <f t="shared" si="2"/>
        <v>0</v>
      </c>
      <c r="J35" s="36">
        <f t="shared" si="2"/>
        <v>3346</v>
      </c>
      <c r="K35" s="36">
        <f t="shared" si="2"/>
        <v>3346</v>
      </c>
    </row>
    <row r="36" spans="1:11" s="84" customFormat="1" ht="15" customHeight="1">
      <c r="A36" s="83" t="s">
        <v>211</v>
      </c>
      <c r="B36" s="84" t="s">
        <v>227</v>
      </c>
      <c r="C36" s="85">
        <v>0</v>
      </c>
      <c r="D36" s="85">
        <v>0</v>
      </c>
      <c r="E36" s="36">
        <f t="shared" si="3"/>
        <v>0</v>
      </c>
      <c r="F36" s="85">
        <v>4508</v>
      </c>
      <c r="G36" s="85">
        <v>0</v>
      </c>
      <c r="H36" s="36">
        <f t="shared" si="1"/>
        <v>4508</v>
      </c>
      <c r="I36" s="36">
        <f t="shared" si="2"/>
        <v>4508</v>
      </c>
      <c r="J36" s="36">
        <f t="shared" si="2"/>
        <v>0</v>
      </c>
      <c r="K36" s="36">
        <f t="shared" si="2"/>
        <v>4508</v>
      </c>
    </row>
    <row r="37" spans="1:11" s="90" customFormat="1" ht="15" customHeight="1">
      <c r="A37" s="123" t="s">
        <v>120</v>
      </c>
      <c r="B37" s="124" t="s">
        <v>121</v>
      </c>
      <c r="C37" s="125">
        <v>231</v>
      </c>
      <c r="D37" s="125">
        <v>0</v>
      </c>
      <c r="E37" s="26">
        <f t="shared" si="3"/>
        <v>231</v>
      </c>
      <c r="F37" s="125">
        <v>-231</v>
      </c>
      <c r="G37" s="125">
        <v>0</v>
      </c>
      <c r="H37" s="26">
        <f>F37+G37</f>
        <v>-231</v>
      </c>
      <c r="I37" s="26">
        <f t="shared" si="2"/>
        <v>0</v>
      </c>
      <c r="J37" s="26">
        <f t="shared" si="2"/>
        <v>0</v>
      </c>
      <c r="K37" s="26">
        <f t="shared" si="2"/>
        <v>0</v>
      </c>
    </row>
    <row r="38" spans="1:11" s="90" customFormat="1" ht="15" customHeight="1">
      <c r="A38" s="123" t="s">
        <v>212</v>
      </c>
      <c r="B38" s="124" t="s">
        <v>228</v>
      </c>
      <c r="C38" s="125">
        <v>0</v>
      </c>
      <c r="D38" s="125">
        <v>0</v>
      </c>
      <c r="E38" s="26">
        <f t="shared" si="3"/>
        <v>0</v>
      </c>
      <c r="F38" s="125">
        <v>231</v>
      </c>
      <c r="G38" s="125">
        <v>0</v>
      </c>
      <c r="H38" s="26">
        <f>F38+G38</f>
        <v>231</v>
      </c>
      <c r="I38" s="26">
        <f t="shared" si="2"/>
        <v>231</v>
      </c>
      <c r="J38" s="26">
        <f t="shared" si="2"/>
        <v>0</v>
      </c>
      <c r="K38" s="26">
        <f t="shared" si="2"/>
        <v>231</v>
      </c>
    </row>
    <row r="39" spans="1:11" s="90" customFormat="1" ht="15" customHeight="1">
      <c r="A39" s="89" t="s">
        <v>29</v>
      </c>
      <c r="B39" s="90" t="s">
        <v>30</v>
      </c>
      <c r="C39" s="91">
        <v>61</v>
      </c>
      <c r="D39" s="91">
        <v>0</v>
      </c>
      <c r="E39" s="26">
        <f t="shared" si="3"/>
        <v>61</v>
      </c>
      <c r="F39" s="91">
        <v>-61</v>
      </c>
      <c r="G39" s="91">
        <v>0</v>
      </c>
      <c r="H39" s="26">
        <f>F39+G39</f>
        <v>-61</v>
      </c>
      <c r="I39" s="26">
        <f t="shared" si="2"/>
        <v>0</v>
      </c>
      <c r="J39" s="26">
        <f t="shared" si="2"/>
        <v>0</v>
      </c>
      <c r="K39" s="26">
        <f t="shared" si="2"/>
        <v>0</v>
      </c>
    </row>
    <row r="40" spans="1:11" s="130" customFormat="1" ht="15" customHeight="1">
      <c r="A40" s="129" t="s">
        <v>208</v>
      </c>
      <c r="B40" s="130" t="s">
        <v>215</v>
      </c>
      <c r="C40" s="131">
        <v>0</v>
      </c>
      <c r="D40" s="131">
        <v>0</v>
      </c>
      <c r="E40" s="59">
        <f t="shared" si="3"/>
        <v>0</v>
      </c>
      <c r="F40" s="131">
        <v>0</v>
      </c>
      <c r="G40" s="131">
        <v>61</v>
      </c>
      <c r="H40" s="59">
        <f t="shared" si="1"/>
        <v>61</v>
      </c>
      <c r="I40" s="59">
        <f t="shared" si="2"/>
        <v>0</v>
      </c>
      <c r="J40" s="59">
        <f t="shared" si="2"/>
        <v>61</v>
      </c>
      <c r="K40" s="59">
        <f t="shared" si="2"/>
        <v>61</v>
      </c>
    </row>
    <row r="44" ht="12.75">
      <c r="A44" t="s">
        <v>225</v>
      </c>
    </row>
    <row r="45" ht="12.75">
      <c r="A45" t="s">
        <v>223</v>
      </c>
    </row>
    <row r="46" ht="12.75">
      <c r="A46" t="s">
        <v>224</v>
      </c>
    </row>
    <row r="76" spans="1:11" s="72" customFormat="1" ht="15" customHeight="1">
      <c r="A76" s="2" t="s">
        <v>64</v>
      </c>
      <c r="B76" s="13" t="s">
        <v>65</v>
      </c>
      <c r="C76" s="14">
        <v>0</v>
      </c>
      <c r="D76" s="14">
        <v>0</v>
      </c>
      <c r="E76" s="5">
        <f>SUM(C76:D76)</f>
        <v>0</v>
      </c>
      <c r="F76" s="14">
        <f>F79+F81+F83+F85</f>
        <v>0</v>
      </c>
      <c r="G76" s="14">
        <v>0</v>
      </c>
      <c r="H76" s="5">
        <f>F76+G76</f>
        <v>0</v>
      </c>
      <c r="I76" s="5">
        <f>C76+F76</f>
        <v>0</v>
      </c>
      <c r="J76" s="5">
        <f>D76+G76</f>
        <v>0</v>
      </c>
      <c r="K76" s="5">
        <f>E76+H76</f>
        <v>0</v>
      </c>
    </row>
    <row r="77" spans="1:11" s="60" customFormat="1" ht="15" customHeight="1">
      <c r="A77" s="15"/>
      <c r="B77" s="16" t="s">
        <v>12</v>
      </c>
      <c r="C77" s="17"/>
      <c r="D77" s="17"/>
      <c r="E77" s="8"/>
      <c r="F77" s="17"/>
      <c r="G77" s="17"/>
      <c r="H77" s="8"/>
      <c r="I77" s="8"/>
      <c r="J77" s="8"/>
      <c r="K77" s="8"/>
    </row>
    <row r="78" spans="1:11" s="73" customFormat="1" ht="15" customHeight="1">
      <c r="A78" s="18"/>
      <c r="B78" s="19" t="s">
        <v>13</v>
      </c>
      <c r="C78" s="20">
        <v>0</v>
      </c>
      <c r="D78" s="20">
        <v>0</v>
      </c>
      <c r="E78" s="11">
        <f aca="true" t="shared" si="4" ref="E78:E86">SUM(C78:D78)</f>
        <v>0</v>
      </c>
      <c r="F78" s="20">
        <v>0</v>
      </c>
      <c r="G78" s="20">
        <v>0</v>
      </c>
      <c r="H78" s="11">
        <f aca="true" t="shared" si="5" ref="H78:H86">F78+G78</f>
        <v>0</v>
      </c>
      <c r="I78" s="11">
        <f aca="true" t="shared" si="6" ref="I78:K86">C78+F78</f>
        <v>0</v>
      </c>
      <c r="J78" s="11">
        <f t="shared" si="6"/>
        <v>0</v>
      </c>
      <c r="K78" s="11">
        <f t="shared" si="6"/>
        <v>0</v>
      </c>
    </row>
    <row r="79" spans="1:11" s="28" customFormat="1" ht="15" customHeight="1">
      <c r="A79" s="27">
        <v>92109</v>
      </c>
      <c r="B79" s="28" t="s">
        <v>66</v>
      </c>
      <c r="C79" s="22">
        <v>0</v>
      </c>
      <c r="D79" s="22">
        <v>0</v>
      </c>
      <c r="E79" s="23">
        <f t="shared" si="4"/>
        <v>0</v>
      </c>
      <c r="F79" s="29">
        <f>SUM(F80:F80)</f>
        <v>0</v>
      </c>
      <c r="G79" s="29">
        <f>SUM(G80:G80)</f>
        <v>0</v>
      </c>
      <c r="H79" s="23">
        <f t="shared" si="5"/>
        <v>0</v>
      </c>
      <c r="I79" s="23">
        <f t="shared" si="6"/>
        <v>0</v>
      </c>
      <c r="J79" s="23">
        <f t="shared" si="6"/>
        <v>0</v>
      </c>
      <c r="K79" s="23">
        <f t="shared" si="6"/>
        <v>0</v>
      </c>
    </row>
    <row r="80" spans="1:11" s="31" customFormat="1" ht="15" customHeight="1">
      <c r="A80" s="30" t="s">
        <v>67</v>
      </c>
      <c r="B80" s="31" t="s">
        <v>68</v>
      </c>
      <c r="C80" s="25">
        <v>0</v>
      </c>
      <c r="D80" s="25">
        <v>0</v>
      </c>
      <c r="E80" s="26">
        <f t="shared" si="4"/>
        <v>0</v>
      </c>
      <c r="F80" s="32">
        <v>0</v>
      </c>
      <c r="G80" s="32">
        <v>0</v>
      </c>
      <c r="H80" s="26">
        <f t="shared" si="5"/>
        <v>0</v>
      </c>
      <c r="I80" s="26">
        <f t="shared" si="6"/>
        <v>0</v>
      </c>
      <c r="J80" s="26">
        <f t="shared" si="6"/>
        <v>0</v>
      </c>
      <c r="K80" s="26">
        <f t="shared" si="6"/>
        <v>0</v>
      </c>
    </row>
    <row r="81" spans="1:11" s="28" customFormat="1" ht="15" customHeight="1">
      <c r="A81" s="27">
        <v>92110</v>
      </c>
      <c r="B81" s="28" t="s">
        <v>82</v>
      </c>
      <c r="C81" s="22">
        <v>0</v>
      </c>
      <c r="D81" s="22">
        <v>0</v>
      </c>
      <c r="E81" s="23">
        <f t="shared" si="4"/>
        <v>0</v>
      </c>
      <c r="F81" s="29">
        <f>SUM(F82:F82)</f>
        <v>0</v>
      </c>
      <c r="G81" s="29">
        <f>SUM(G82:G82)</f>
        <v>0</v>
      </c>
      <c r="H81" s="23">
        <f t="shared" si="5"/>
        <v>0</v>
      </c>
      <c r="I81" s="23">
        <f t="shared" si="6"/>
        <v>0</v>
      </c>
      <c r="J81" s="23">
        <f t="shared" si="6"/>
        <v>0</v>
      </c>
      <c r="K81" s="23">
        <f t="shared" si="6"/>
        <v>0</v>
      </c>
    </row>
    <row r="82" spans="1:11" s="31" customFormat="1" ht="15" customHeight="1">
      <c r="A82" s="30" t="s">
        <v>67</v>
      </c>
      <c r="B82" s="31" t="s">
        <v>68</v>
      </c>
      <c r="C82" s="25">
        <v>0</v>
      </c>
      <c r="D82" s="25">
        <v>0</v>
      </c>
      <c r="E82" s="26">
        <f t="shared" si="4"/>
        <v>0</v>
      </c>
      <c r="F82" s="32">
        <v>0</v>
      </c>
      <c r="G82" s="32">
        <v>0</v>
      </c>
      <c r="H82" s="26">
        <f t="shared" si="5"/>
        <v>0</v>
      </c>
      <c r="I82" s="26">
        <f t="shared" si="6"/>
        <v>0</v>
      </c>
      <c r="J82" s="26">
        <f t="shared" si="6"/>
        <v>0</v>
      </c>
      <c r="K82" s="26">
        <f t="shared" si="6"/>
        <v>0</v>
      </c>
    </row>
    <row r="83" spans="1:11" s="28" customFormat="1" ht="15" customHeight="1">
      <c r="A83" s="27">
        <v>92116</v>
      </c>
      <c r="B83" s="28" t="s">
        <v>83</v>
      </c>
      <c r="C83" s="22">
        <v>0</v>
      </c>
      <c r="D83" s="22">
        <v>0</v>
      </c>
      <c r="E83" s="23">
        <f t="shared" si="4"/>
        <v>0</v>
      </c>
      <c r="F83" s="29">
        <f>SUM(F84:F84)</f>
        <v>0</v>
      </c>
      <c r="G83" s="29">
        <f>SUM(G84:G84)</f>
        <v>0</v>
      </c>
      <c r="H83" s="23">
        <f t="shared" si="5"/>
        <v>0</v>
      </c>
      <c r="I83" s="23">
        <f t="shared" si="6"/>
        <v>0</v>
      </c>
      <c r="J83" s="23">
        <f t="shared" si="6"/>
        <v>0</v>
      </c>
      <c r="K83" s="23">
        <f t="shared" si="6"/>
        <v>0</v>
      </c>
    </row>
    <row r="84" spans="1:11" s="31" customFormat="1" ht="15" customHeight="1">
      <c r="A84" s="30" t="s">
        <v>67</v>
      </c>
      <c r="B84" s="31" t="s">
        <v>68</v>
      </c>
      <c r="C84" s="25">
        <v>0</v>
      </c>
      <c r="D84" s="25">
        <v>0</v>
      </c>
      <c r="E84" s="26">
        <f t="shared" si="4"/>
        <v>0</v>
      </c>
      <c r="F84" s="32">
        <v>0</v>
      </c>
      <c r="G84" s="32">
        <v>0</v>
      </c>
      <c r="H84" s="26">
        <f t="shared" si="5"/>
        <v>0</v>
      </c>
      <c r="I84" s="26">
        <f t="shared" si="6"/>
        <v>0</v>
      </c>
      <c r="J84" s="26">
        <f t="shared" si="6"/>
        <v>0</v>
      </c>
      <c r="K84" s="26">
        <f t="shared" si="6"/>
        <v>0</v>
      </c>
    </row>
    <row r="85" spans="1:11" s="28" customFormat="1" ht="15" customHeight="1">
      <c r="A85" s="27">
        <v>92118</v>
      </c>
      <c r="B85" s="28" t="s">
        <v>84</v>
      </c>
      <c r="C85" s="22">
        <v>0</v>
      </c>
      <c r="D85" s="22">
        <v>0</v>
      </c>
      <c r="E85" s="23">
        <f t="shared" si="4"/>
        <v>0</v>
      </c>
      <c r="F85" s="29">
        <f>SUM(F86:F86)</f>
        <v>0</v>
      </c>
      <c r="G85" s="29">
        <f>SUM(G86:G86)</f>
        <v>0</v>
      </c>
      <c r="H85" s="23">
        <f t="shared" si="5"/>
        <v>0</v>
      </c>
      <c r="I85" s="23">
        <f t="shared" si="6"/>
        <v>0</v>
      </c>
      <c r="J85" s="23">
        <f t="shared" si="6"/>
        <v>0</v>
      </c>
      <c r="K85" s="23">
        <f t="shared" si="6"/>
        <v>0</v>
      </c>
    </row>
    <row r="86" spans="1:11" s="76" customFormat="1" ht="15" customHeight="1">
      <c r="A86" s="75" t="s">
        <v>67</v>
      </c>
      <c r="B86" s="76" t="s">
        <v>68</v>
      </c>
      <c r="C86" s="58">
        <v>0</v>
      </c>
      <c r="D86" s="58">
        <v>0</v>
      </c>
      <c r="E86" s="59">
        <f t="shared" si="4"/>
        <v>0</v>
      </c>
      <c r="F86" s="77">
        <v>0</v>
      </c>
      <c r="G86" s="77">
        <v>0</v>
      </c>
      <c r="H86" s="59">
        <f t="shared" si="5"/>
        <v>0</v>
      </c>
      <c r="I86" s="59">
        <f t="shared" si="6"/>
        <v>0</v>
      </c>
      <c r="J86" s="59">
        <f t="shared" si="6"/>
        <v>0</v>
      </c>
      <c r="K86" s="59">
        <f t="shared" si="6"/>
        <v>0</v>
      </c>
    </row>
  </sheetData>
  <mergeCells count="12">
    <mergeCell ref="I1:K1"/>
    <mergeCell ref="I2:K2"/>
    <mergeCell ref="I3:K3"/>
    <mergeCell ref="I4:K4"/>
    <mergeCell ref="A12:K12"/>
    <mergeCell ref="A16:K16"/>
    <mergeCell ref="A5:K5"/>
    <mergeCell ref="A6:A7"/>
    <mergeCell ref="B6:B7"/>
    <mergeCell ref="C6:E6"/>
    <mergeCell ref="F6:H6"/>
    <mergeCell ref="I6:K6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Gawronska Magdalena</cp:lastModifiedBy>
  <cp:lastPrinted>2005-12-22T11:16:20Z</cp:lastPrinted>
  <dcterms:created xsi:type="dcterms:W3CDTF">2005-09-13T06:44:05Z</dcterms:created>
  <dcterms:modified xsi:type="dcterms:W3CDTF">2006-01-03T13:40:30Z</dcterms:modified>
  <cp:category/>
  <cp:version/>
  <cp:contentType/>
  <cp:contentStatus/>
</cp:coreProperties>
</file>