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<sst xmlns="http://schemas.openxmlformats.org/spreadsheetml/2006/main" count="391" uniqueCount="147">
  <si>
    <t>Plan przed zmianą</t>
  </si>
  <si>
    <t>A + B</t>
  </si>
  <si>
    <t>Załącznik nr 2</t>
  </si>
  <si>
    <t>Rady Miasta w Piotrkowie Tryb.</t>
  </si>
  <si>
    <t>ZMIANY  W  PLANIE  WYDATKÓW</t>
  </si>
  <si>
    <t>klasyfikacja budżetowa</t>
  </si>
  <si>
    <t>TREŚĆ</t>
  </si>
  <si>
    <t>Zmiana (+):(-)</t>
  </si>
  <si>
    <t>Plan po zmianach</t>
  </si>
  <si>
    <t>śr. wł.</t>
  </si>
  <si>
    <t>dotacje</t>
  </si>
  <si>
    <t>Razem</t>
  </si>
  <si>
    <t>WYDATKI OGÓŁEM   dotyczące zadań gminy i powiatu</t>
  </si>
  <si>
    <t>w tym:</t>
  </si>
  <si>
    <t xml:space="preserve"> </t>
  </si>
  <si>
    <t>inwestycje</t>
  </si>
  <si>
    <t>WYDATKI  DOTYCZĄCE  ZADAŃ  GMINY</t>
  </si>
  <si>
    <t xml:space="preserve">A </t>
  </si>
  <si>
    <t>Wydatki ogółem</t>
  </si>
  <si>
    <t>w tym</t>
  </si>
  <si>
    <t>Dział 010</t>
  </si>
  <si>
    <t>Rolnictwo</t>
  </si>
  <si>
    <t>01095</t>
  </si>
  <si>
    <t>Pozostała działalność</t>
  </si>
  <si>
    <t>§ 4300</t>
  </si>
  <si>
    <t>pozostałe usługi</t>
  </si>
  <si>
    <t>Dział 600</t>
  </si>
  <si>
    <t>Transport i łączność</t>
  </si>
  <si>
    <t>Drogi publiczne  gminne</t>
  </si>
  <si>
    <t>§ 3020</t>
  </si>
  <si>
    <t>wydatki osobowe niezaliczone do wynagr.</t>
  </si>
  <si>
    <t>§ 4210</t>
  </si>
  <si>
    <t>materiały i wyposażenie</t>
  </si>
  <si>
    <t>§ 6050</t>
  </si>
  <si>
    <t>wydatki inwestycyjne</t>
  </si>
  <si>
    <t>§ 6060</t>
  </si>
  <si>
    <t>zakupy inwestycyjne</t>
  </si>
  <si>
    <t>§ 4010</t>
  </si>
  <si>
    <t xml:space="preserve">wynagrodzenia </t>
  </si>
  <si>
    <t>§ 4110</t>
  </si>
  <si>
    <t>składki na ubezpieczenia społeczne</t>
  </si>
  <si>
    <t>§ 4120</t>
  </si>
  <si>
    <t>składki na FP</t>
  </si>
  <si>
    <t>§ 4440</t>
  </si>
  <si>
    <t>odpis na ZFŚS</t>
  </si>
  <si>
    <t>Dział 700</t>
  </si>
  <si>
    <t>Gospodarka mieszkaniowa</t>
  </si>
  <si>
    <t>Zakłady gospodarki mieszkaniowej</t>
  </si>
  <si>
    <t>§ 4270</t>
  </si>
  <si>
    <t>usługi remontowe</t>
  </si>
  <si>
    <t>Dział 750</t>
  </si>
  <si>
    <t>Administracja publiczna</t>
  </si>
  <si>
    <t>Urząd Miasta</t>
  </si>
  <si>
    <t xml:space="preserve">wynagrodzenie </t>
  </si>
  <si>
    <t>§ 4410</t>
  </si>
  <si>
    <t>podróże służbowe krajowe</t>
  </si>
  <si>
    <t>Dział 754</t>
  </si>
  <si>
    <t>Bezpieczeństwo publiczne</t>
  </si>
  <si>
    <t>Obrona cywilna</t>
  </si>
  <si>
    <t>Dział 758</t>
  </si>
  <si>
    <t>Różne rozliczenia</t>
  </si>
  <si>
    <t>Rezerwy ogólne i celowe</t>
  </si>
  <si>
    <t>§ 4810</t>
  </si>
  <si>
    <t>rezerwa na kulturę</t>
  </si>
  <si>
    <t>§  6800</t>
  </si>
  <si>
    <t>rezerwa na inwestycje</t>
  </si>
  <si>
    <t>Dział 801</t>
  </si>
  <si>
    <t>Oświata i wychowanie</t>
  </si>
  <si>
    <t>Szkoły podstawowe</t>
  </si>
  <si>
    <t>§ 4040</t>
  </si>
  <si>
    <t>dodatkowe wynagrodzenie roczne</t>
  </si>
  <si>
    <t>§ 4240</t>
  </si>
  <si>
    <t>pomoce naukowe i dydaktyczne</t>
  </si>
  <si>
    <t>§ 4260</t>
  </si>
  <si>
    <t>energia</t>
  </si>
  <si>
    <t>§ 4350</t>
  </si>
  <si>
    <t>usługi dostępu do sieci Internet</t>
  </si>
  <si>
    <t>Przedszkola</t>
  </si>
  <si>
    <t>Gimnazja</t>
  </si>
  <si>
    <t>§ 4170</t>
  </si>
  <si>
    <t>wynagrodzenia bezosobowe</t>
  </si>
  <si>
    <t>Dokształcanie i doskonalenie nauczycieli</t>
  </si>
  <si>
    <t>Dział 851</t>
  </si>
  <si>
    <t>Ochrona zdrowia</t>
  </si>
  <si>
    <t>Przeciwdziałanie alkoholizmowi</t>
  </si>
  <si>
    <t>Dział 852</t>
  </si>
  <si>
    <t>Pomoc społeczna</t>
  </si>
  <si>
    <t>Ośrodki wsparcia</t>
  </si>
  <si>
    <t>§ 4430</t>
  </si>
  <si>
    <t>różne opłaty i składki</t>
  </si>
  <si>
    <t>odpis na ZFSŚ</t>
  </si>
  <si>
    <t>§ 4480</t>
  </si>
  <si>
    <t>podatek od nieruchomości</t>
  </si>
  <si>
    <t>Ośrodki pomocy społecznej</t>
  </si>
  <si>
    <t>rózne opłaty i składki</t>
  </si>
  <si>
    <t>Dział 854</t>
  </si>
  <si>
    <t>Edukacyjna opieka wychowawcza</t>
  </si>
  <si>
    <t>Świetlice szkolne</t>
  </si>
  <si>
    <t>wynagrodzenie</t>
  </si>
  <si>
    <t>Dział 900</t>
  </si>
  <si>
    <t>Gospodarka komunalna</t>
  </si>
  <si>
    <t>Schroniska dla zwierząt</t>
  </si>
  <si>
    <t>§ 6059</t>
  </si>
  <si>
    <t>wyd.inwestyc.współfinan.z bud.UE</t>
  </si>
  <si>
    <t>Dział 921</t>
  </si>
  <si>
    <t>Kultura i ochrona dziedz.narodowego</t>
  </si>
  <si>
    <t>Pozostałe zadania w zakrsie kultury</t>
  </si>
  <si>
    <t>§ 2820</t>
  </si>
  <si>
    <t>dotacje dla instytucji kultury</t>
  </si>
  <si>
    <t>Domy kultury</t>
  </si>
  <si>
    <t>§ 2550</t>
  </si>
  <si>
    <t>§ 2830</t>
  </si>
  <si>
    <t>dotacje dla pozostałych jednostek</t>
  </si>
  <si>
    <t>§ 3040</t>
  </si>
  <si>
    <t>nagrody o charakterze szczególnym</t>
  </si>
  <si>
    <t>Dział 926</t>
  </si>
  <si>
    <t>Kultura fizyczna i sport</t>
  </si>
  <si>
    <t>Instytucje kultury</t>
  </si>
  <si>
    <t>Pozostałe zadania w zakresie kuttury fiz.</t>
  </si>
  <si>
    <t>§ 3250</t>
  </si>
  <si>
    <t>stypendia różne</t>
  </si>
  <si>
    <t>WYDATKI  DOTYCZĄCE  ZADAŃ  POWIATU</t>
  </si>
  <si>
    <t>B</t>
  </si>
  <si>
    <t xml:space="preserve">Drogi publiczne </t>
  </si>
  <si>
    <t>Komendy powiatowe policji</t>
  </si>
  <si>
    <t>§ 2430</t>
  </si>
  <si>
    <t>dotacja z budżetu dla funduszu celowego</t>
  </si>
  <si>
    <t>§ 3000</t>
  </si>
  <si>
    <t>wpłaty na fundusz celowy</t>
  </si>
  <si>
    <t>§ 6170</t>
  </si>
  <si>
    <t>wpłaty na fundusz celowy na inwestycje</t>
  </si>
  <si>
    <t xml:space="preserve">Oświata i wychowanie </t>
  </si>
  <si>
    <t>Szkoła podstawowa specjalna</t>
  </si>
  <si>
    <t>Licea ogólnokształcące</t>
  </si>
  <si>
    <t>Szkoły zawodowe</t>
  </si>
  <si>
    <t>dodatkowe wynagrodzenia roczne</t>
  </si>
  <si>
    <t>Centra kształcenia ustaw.i pr.</t>
  </si>
  <si>
    <t>wynagrodzenia</t>
  </si>
  <si>
    <t>Placówki opiekuńczo-wychowawcze</t>
  </si>
  <si>
    <t>dotacje dla stowarzyszeń</t>
  </si>
  <si>
    <t>Edukacyjna opieka społeczna</t>
  </si>
  <si>
    <t>Specjalne ośrodki szkolno-wychowawcze</t>
  </si>
  <si>
    <t>§ 4500</t>
  </si>
  <si>
    <t xml:space="preserve">pozostałe podatki </t>
  </si>
  <si>
    <t>Biblioteka</t>
  </si>
  <si>
    <t>do Uchwały  Nr  XXXVIII/580/05</t>
  </si>
  <si>
    <t>z dnia    8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</si>
</sst>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="125" zoomScaleNormal="125" workbookViewId="0" topLeftCell="A1">
      <selection activeCell="A219" sqref="A219"/>
    </sheetView>
  </sheetViews>
  <sheetFormatPr defaultColWidth="9.00390625" defaultRowHeight="12.75"/>
  <cols>
    <col min="1" max="1" width="11.125" style="0" customWidth="1"/>
    <col min="2" max="2" width="38.625" style="0" customWidth="1"/>
    <col min="3" max="3" width="11.125" style="0" customWidth="1"/>
    <col min="4" max="4" width="10.125" style="0" customWidth="1"/>
    <col min="5" max="6" width="11.125" style="0" customWidth="1"/>
    <col min="7" max="7" width="7.875" style="0" customWidth="1"/>
    <col min="8" max="9" width="11.125" style="0" customWidth="1"/>
    <col min="10" max="10" width="10.375" style="0" customWidth="1"/>
    <col min="11" max="11" width="11.125" style="0" customWidth="1"/>
  </cols>
  <sheetData>
    <row r="1" spans="9:10" s="1" customFormat="1" ht="12.75">
      <c r="I1" s="52" t="s">
        <v>2</v>
      </c>
      <c r="J1" s="52"/>
    </row>
    <row r="2" spans="9:11" s="1" customFormat="1" ht="12.75">
      <c r="I2" s="52" t="s">
        <v>145</v>
      </c>
      <c r="J2" s="52"/>
      <c r="K2" s="52"/>
    </row>
    <row r="3" spans="9:11" s="1" customFormat="1" ht="12.75">
      <c r="I3" s="52" t="s">
        <v>3</v>
      </c>
      <c r="J3" s="52"/>
      <c r="K3" s="52"/>
    </row>
    <row r="4" spans="9:11" s="1" customFormat="1" ht="12.75">
      <c r="I4" s="52" t="s">
        <v>146</v>
      </c>
      <c r="J4" s="52"/>
      <c r="K4" s="52"/>
    </row>
    <row r="5" spans="1:11" s="1" customFormat="1" ht="30.75" customHeight="1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s="1" customFormat="1" ht="16.5" customHeight="1">
      <c r="A6" s="54" t="s">
        <v>5</v>
      </c>
      <c r="B6" s="54" t="s">
        <v>6</v>
      </c>
      <c r="C6" s="55" t="s">
        <v>0</v>
      </c>
      <c r="D6" s="55"/>
      <c r="E6" s="55"/>
      <c r="F6" s="55" t="s">
        <v>7</v>
      </c>
      <c r="G6" s="55"/>
      <c r="H6" s="55"/>
      <c r="I6" s="55" t="s">
        <v>8</v>
      </c>
      <c r="J6" s="55"/>
      <c r="K6" s="55"/>
    </row>
    <row r="7" spans="1:11" s="1" customFormat="1" ht="17.25" customHeight="1">
      <c r="A7" s="54"/>
      <c r="B7" s="54"/>
      <c r="C7" s="2" t="s">
        <v>9</v>
      </c>
      <c r="D7" s="2" t="s">
        <v>10</v>
      </c>
      <c r="E7" s="2" t="s">
        <v>11</v>
      </c>
      <c r="F7" s="2" t="s">
        <v>9</v>
      </c>
      <c r="G7" s="2" t="s">
        <v>10</v>
      </c>
      <c r="H7" s="2" t="s">
        <v>11</v>
      </c>
      <c r="I7" s="2" t="s">
        <v>9</v>
      </c>
      <c r="J7" s="2" t="s">
        <v>10</v>
      </c>
      <c r="K7" s="2" t="s">
        <v>11</v>
      </c>
    </row>
    <row r="8" spans="1:11" s="1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s="1" customFormat="1" ht="29.25" customHeight="1">
      <c r="A9" s="4" t="s">
        <v>1</v>
      </c>
      <c r="B9" s="5" t="s">
        <v>12</v>
      </c>
      <c r="C9" s="6">
        <v>175607595</v>
      </c>
      <c r="D9" s="6">
        <v>30121627</v>
      </c>
      <c r="E9" s="6">
        <f>SUM(C9:D9)</f>
        <v>205729222</v>
      </c>
      <c r="F9" s="6">
        <f>F13+F159</f>
        <v>1117319</v>
      </c>
      <c r="G9" s="6">
        <f>G13+G159</f>
        <v>6000</v>
      </c>
      <c r="H9" s="6">
        <f>SUM(F9:G9)</f>
        <v>1123319</v>
      </c>
      <c r="I9" s="6">
        <f>C9+F9</f>
        <v>176724914</v>
      </c>
      <c r="J9" s="6">
        <f>D9+G9</f>
        <v>30127627</v>
      </c>
      <c r="K9" s="6">
        <f>E9+H9</f>
        <v>206852541</v>
      </c>
    </row>
    <row r="10" spans="1:11" s="1" customFormat="1" ht="13.5" customHeight="1">
      <c r="A10" s="7"/>
      <c r="B10" s="7" t="s">
        <v>13</v>
      </c>
      <c r="C10" s="8"/>
      <c r="D10" s="8"/>
      <c r="E10" s="8"/>
      <c r="F10" s="8"/>
      <c r="G10" s="8" t="s">
        <v>14</v>
      </c>
      <c r="H10" s="8"/>
      <c r="I10" s="8"/>
      <c r="J10" s="8"/>
      <c r="K10" s="8"/>
    </row>
    <row r="11" spans="1:11" s="1" customFormat="1" ht="13.5" customHeight="1">
      <c r="A11" s="9"/>
      <c r="B11" s="9" t="s">
        <v>15</v>
      </c>
      <c r="C11" s="10">
        <v>26503884</v>
      </c>
      <c r="D11" s="10">
        <v>3166078</v>
      </c>
      <c r="E11" s="10">
        <f>SUM(C11:D11)</f>
        <v>29669962</v>
      </c>
      <c r="F11" s="10">
        <f>F15+F161</f>
        <v>-1050561</v>
      </c>
      <c r="G11" s="10">
        <f>G15+G161</f>
        <v>0</v>
      </c>
      <c r="H11" s="10">
        <f>SUM(F11:G11)</f>
        <v>-1050561</v>
      </c>
      <c r="I11" s="10">
        <f>C11+F11</f>
        <v>25453323</v>
      </c>
      <c r="J11" s="10">
        <f>D11+G11</f>
        <v>3166078</v>
      </c>
      <c r="K11" s="10">
        <f>E11+H11</f>
        <v>28619401</v>
      </c>
    </row>
    <row r="12" spans="1:11" s="1" customFormat="1" ht="26.25" customHeight="1">
      <c r="A12" s="46" t="s">
        <v>16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11" s="1" customFormat="1" ht="16.5" customHeight="1">
      <c r="A13" s="3" t="s">
        <v>17</v>
      </c>
      <c r="B13" s="11" t="s">
        <v>18</v>
      </c>
      <c r="C13" s="12">
        <v>121458773</v>
      </c>
      <c r="D13" s="12">
        <v>19408679</v>
      </c>
      <c r="E13" s="6">
        <f>SUM(C13:D13)</f>
        <v>140867452</v>
      </c>
      <c r="F13" s="12">
        <f>F16+F21+F36+F44+F60+F66+F101+F126+F54+F96+F117+F135+F147</f>
        <v>1430989</v>
      </c>
      <c r="G13" s="12">
        <f>G16+G21+G36+G44+G60+G66+G101+G126+G54+G96+G117+G135+G147</f>
        <v>6000</v>
      </c>
      <c r="H13" s="6">
        <f>SUM(F13:G13)</f>
        <v>1436989</v>
      </c>
      <c r="I13" s="6">
        <f>C13+F13</f>
        <v>122889762</v>
      </c>
      <c r="J13" s="6">
        <f>D13+G13</f>
        <v>19414679</v>
      </c>
      <c r="K13" s="6">
        <f>E13+H13</f>
        <v>142304441</v>
      </c>
    </row>
    <row r="14" spans="1:11" s="1" customFormat="1" ht="13.5" customHeight="1">
      <c r="A14" s="13"/>
      <c r="B14" s="14" t="s">
        <v>19</v>
      </c>
      <c r="C14" s="15"/>
      <c r="D14" s="15"/>
      <c r="E14" s="15"/>
      <c r="F14" s="15"/>
      <c r="G14" s="15"/>
      <c r="H14" s="8"/>
      <c r="I14" s="8"/>
      <c r="J14" s="8"/>
      <c r="K14" s="8"/>
    </row>
    <row r="15" spans="1:11" s="1" customFormat="1" ht="13.5" customHeight="1">
      <c r="A15" s="16"/>
      <c r="B15" s="17" t="s">
        <v>15</v>
      </c>
      <c r="C15" s="18">
        <v>21270884</v>
      </c>
      <c r="D15" s="18">
        <v>1304078</v>
      </c>
      <c r="E15" s="10">
        <f>SUM(C15:D15)</f>
        <v>22574962</v>
      </c>
      <c r="F15" s="18">
        <f>F18+F23+F38+F46+F62+F68+F103+F128+F56+F98+F119+F137+F149</f>
        <v>-398229</v>
      </c>
      <c r="G15" s="18">
        <f>G18+G23+G38+G46+G62+G68+G103+G128+G56+G98+G119+G137+G149</f>
        <v>0</v>
      </c>
      <c r="H15" s="10">
        <f>SUM(F15:G15)</f>
        <v>-398229</v>
      </c>
      <c r="I15" s="10">
        <f aca="true" t="shared" si="0" ref="I15:K16">C15+F15</f>
        <v>20872655</v>
      </c>
      <c r="J15" s="10">
        <f t="shared" si="0"/>
        <v>1304078</v>
      </c>
      <c r="K15" s="10">
        <f t="shared" si="0"/>
        <v>22176733</v>
      </c>
    </row>
    <row r="16" spans="1:11" s="19" customFormat="1" ht="13.5" customHeight="1">
      <c r="A16" s="3" t="s">
        <v>20</v>
      </c>
      <c r="B16" s="11" t="s">
        <v>21</v>
      </c>
      <c r="C16" s="12">
        <v>28200</v>
      </c>
      <c r="D16" s="12">
        <v>0</v>
      </c>
      <c r="E16" s="6">
        <f>SUM(C16:D16)</f>
        <v>28200</v>
      </c>
      <c r="F16" s="12">
        <f>F19</f>
        <v>2760</v>
      </c>
      <c r="G16" s="12">
        <f>G19</f>
        <v>0</v>
      </c>
      <c r="H16" s="6">
        <f>F16+G16</f>
        <v>2760</v>
      </c>
      <c r="I16" s="6">
        <f t="shared" si="0"/>
        <v>30960</v>
      </c>
      <c r="J16" s="6">
        <f t="shared" si="0"/>
        <v>0</v>
      </c>
      <c r="K16" s="6">
        <f t="shared" si="0"/>
        <v>30960</v>
      </c>
    </row>
    <row r="17" spans="1:11" s="20" customFormat="1" ht="13.5" customHeight="1">
      <c r="A17" s="13"/>
      <c r="B17" s="14" t="s">
        <v>13</v>
      </c>
      <c r="C17" s="15"/>
      <c r="D17" s="15"/>
      <c r="E17" s="8"/>
      <c r="F17" s="15"/>
      <c r="G17" s="15"/>
      <c r="H17" s="8"/>
      <c r="I17" s="8"/>
      <c r="J17" s="8"/>
      <c r="K17" s="8"/>
    </row>
    <row r="18" spans="1:11" s="21" customFormat="1" ht="13.5" customHeight="1">
      <c r="A18" s="16"/>
      <c r="B18" s="17" t="s">
        <v>15</v>
      </c>
      <c r="C18" s="18">
        <v>0</v>
      </c>
      <c r="D18" s="18">
        <v>0</v>
      </c>
      <c r="E18" s="10">
        <f>SUM(C18:D18)</f>
        <v>0</v>
      </c>
      <c r="F18" s="18">
        <v>0</v>
      </c>
      <c r="G18" s="18">
        <v>0</v>
      </c>
      <c r="H18" s="10">
        <f>F18+G18</f>
        <v>0</v>
      </c>
      <c r="I18" s="10">
        <f aca="true" t="shared" si="1" ref="I18:K20">C18+F18</f>
        <v>0</v>
      </c>
      <c r="J18" s="10">
        <f t="shared" si="1"/>
        <v>0</v>
      </c>
      <c r="K18" s="10">
        <f t="shared" si="1"/>
        <v>0</v>
      </c>
    </row>
    <row r="19" spans="1:11" s="19" customFormat="1" ht="13.5" customHeight="1">
      <c r="A19" s="22" t="s">
        <v>22</v>
      </c>
      <c r="B19" s="19" t="s">
        <v>23</v>
      </c>
      <c r="C19" s="23">
        <v>23000</v>
      </c>
      <c r="D19" s="23">
        <v>0</v>
      </c>
      <c r="E19" s="24">
        <f>SUM(C19:D19)</f>
        <v>23000</v>
      </c>
      <c r="F19" s="23">
        <f>SUM(F20:F20)</f>
        <v>2760</v>
      </c>
      <c r="G19" s="23">
        <v>0</v>
      </c>
      <c r="H19" s="24">
        <f>F19+G19</f>
        <v>2760</v>
      </c>
      <c r="I19" s="24">
        <f t="shared" si="1"/>
        <v>25760</v>
      </c>
      <c r="J19" s="24">
        <f t="shared" si="1"/>
        <v>0</v>
      </c>
      <c r="K19" s="24">
        <f t="shared" si="1"/>
        <v>25760</v>
      </c>
    </row>
    <row r="20" spans="1:11" s="20" customFormat="1" ht="13.5" customHeight="1">
      <c r="A20" s="25" t="s">
        <v>24</v>
      </c>
      <c r="B20" s="20" t="s">
        <v>25</v>
      </c>
      <c r="C20" s="26">
        <v>8759</v>
      </c>
      <c r="D20" s="26">
        <v>0</v>
      </c>
      <c r="E20" s="27">
        <f>SUM(C20:D20)</f>
        <v>8759</v>
      </c>
      <c r="F20" s="26">
        <v>2760</v>
      </c>
      <c r="G20" s="26">
        <v>0</v>
      </c>
      <c r="H20" s="27">
        <f>F20+G20</f>
        <v>2760</v>
      </c>
      <c r="I20" s="27">
        <f t="shared" si="1"/>
        <v>11519</v>
      </c>
      <c r="J20" s="27">
        <f t="shared" si="1"/>
        <v>0</v>
      </c>
      <c r="K20" s="27">
        <f t="shared" si="1"/>
        <v>11519</v>
      </c>
    </row>
    <row r="21" spans="1:11" s="1" customFormat="1" ht="13.5" customHeight="1">
      <c r="A21" s="3" t="s">
        <v>26</v>
      </c>
      <c r="B21" s="11" t="s">
        <v>27</v>
      </c>
      <c r="C21" s="12">
        <v>13591096</v>
      </c>
      <c r="D21" s="12">
        <v>0</v>
      </c>
      <c r="E21" s="6">
        <f>SUM(C21:D21)</f>
        <v>13591096</v>
      </c>
      <c r="F21" s="12">
        <f>F24+F30</f>
        <v>-223087</v>
      </c>
      <c r="G21" s="12">
        <f>G24+G30</f>
        <v>0</v>
      </c>
      <c r="H21" s="6">
        <f>F21+G21</f>
        <v>-223087</v>
      </c>
      <c r="I21" s="6">
        <f>C21+F21</f>
        <v>13368009</v>
      </c>
      <c r="J21" s="6">
        <f>D21+G21</f>
        <v>0</v>
      </c>
      <c r="K21" s="6">
        <f>E21+H21</f>
        <v>13368009</v>
      </c>
    </row>
    <row r="22" spans="1:11" s="1" customFormat="1" ht="13.5" customHeight="1">
      <c r="A22" s="13"/>
      <c r="B22" s="14" t="s">
        <v>13</v>
      </c>
      <c r="C22" s="15"/>
      <c r="D22" s="15"/>
      <c r="E22" s="8"/>
      <c r="F22" s="15"/>
      <c r="G22" s="15"/>
      <c r="H22" s="8"/>
      <c r="I22" s="8"/>
      <c r="J22" s="8"/>
      <c r="K22" s="8"/>
    </row>
    <row r="23" spans="1:11" s="1" customFormat="1" ht="13.5" customHeight="1">
      <c r="A23" s="16"/>
      <c r="B23" s="17" t="s">
        <v>15</v>
      </c>
      <c r="C23" s="18">
        <v>7090000</v>
      </c>
      <c r="D23" s="18">
        <v>0</v>
      </c>
      <c r="E23" s="10">
        <f aca="true" t="shared" si="2" ref="E23:E36">SUM(C23:D23)</f>
        <v>7090000</v>
      </c>
      <c r="F23" s="18">
        <f>F28+F29</f>
        <v>-645151</v>
      </c>
      <c r="G23" s="18">
        <v>0</v>
      </c>
      <c r="H23" s="10">
        <f aca="true" t="shared" si="3" ref="H23:H36">F23+G23</f>
        <v>-645151</v>
      </c>
      <c r="I23" s="10">
        <f>C23+F23</f>
        <v>6444849</v>
      </c>
      <c r="J23" s="10">
        <f aca="true" t="shared" si="4" ref="J23:K35">D23+G23</f>
        <v>0</v>
      </c>
      <c r="K23" s="10">
        <f>E23+H23</f>
        <v>6444849</v>
      </c>
    </row>
    <row r="24" spans="1:11" s="1" customFormat="1" ht="13.5" customHeight="1">
      <c r="A24" s="28">
        <v>60016</v>
      </c>
      <c r="B24" s="19" t="s">
        <v>28</v>
      </c>
      <c r="C24" s="23">
        <v>9836970</v>
      </c>
      <c r="D24" s="23">
        <v>0</v>
      </c>
      <c r="E24" s="24">
        <f t="shared" si="2"/>
        <v>9836970</v>
      </c>
      <c r="F24" s="23">
        <f>SUM(F25:F29)</f>
        <v>-567601</v>
      </c>
      <c r="G24" s="23">
        <v>0</v>
      </c>
      <c r="H24" s="24">
        <f t="shared" si="3"/>
        <v>-567601</v>
      </c>
      <c r="I24" s="24">
        <f aca="true" t="shared" si="5" ref="I24:K34">C24+F24</f>
        <v>9269369</v>
      </c>
      <c r="J24" s="24">
        <f t="shared" si="4"/>
        <v>0</v>
      </c>
      <c r="K24" s="24">
        <f t="shared" si="4"/>
        <v>9269369</v>
      </c>
    </row>
    <row r="25" spans="1:11" s="1" customFormat="1" ht="13.5" customHeight="1">
      <c r="A25" s="29" t="s">
        <v>29</v>
      </c>
      <c r="B25" s="30" t="s">
        <v>30</v>
      </c>
      <c r="C25" s="31">
        <v>0</v>
      </c>
      <c r="D25" s="31">
        <v>0</v>
      </c>
      <c r="E25" s="27">
        <f t="shared" si="2"/>
        <v>0</v>
      </c>
      <c r="F25" s="31">
        <v>500</v>
      </c>
      <c r="G25" s="31">
        <v>0</v>
      </c>
      <c r="H25" s="27">
        <f>F25+G25</f>
        <v>500</v>
      </c>
      <c r="I25" s="27">
        <f t="shared" si="5"/>
        <v>500</v>
      </c>
      <c r="J25" s="27">
        <f t="shared" si="4"/>
        <v>0</v>
      </c>
      <c r="K25" s="27">
        <f t="shared" si="4"/>
        <v>500</v>
      </c>
    </row>
    <row r="26" spans="1:11" s="1" customFormat="1" ht="13.5" customHeight="1">
      <c r="A26" s="29" t="s">
        <v>31</v>
      </c>
      <c r="B26" s="30" t="s">
        <v>32</v>
      </c>
      <c r="C26" s="31">
        <v>24000</v>
      </c>
      <c r="D26" s="31">
        <v>0</v>
      </c>
      <c r="E26" s="27">
        <f>SUM(C26:D26)</f>
        <v>24000</v>
      </c>
      <c r="F26" s="31">
        <f>49000+24000+3650</f>
        <v>76650</v>
      </c>
      <c r="G26" s="31">
        <v>0</v>
      </c>
      <c r="H26" s="27">
        <f>F26+G26</f>
        <v>76650</v>
      </c>
      <c r="I26" s="27">
        <f>C26+F26</f>
        <v>100650</v>
      </c>
      <c r="J26" s="27">
        <f>D26+G26</f>
        <v>0</v>
      </c>
      <c r="K26" s="27">
        <f>E26+H26</f>
        <v>100650</v>
      </c>
    </row>
    <row r="27" spans="1:11" s="1" customFormat="1" ht="13.5" customHeight="1">
      <c r="A27" s="29" t="s">
        <v>24</v>
      </c>
      <c r="B27" s="30" t="s">
        <v>25</v>
      </c>
      <c r="C27" s="31">
        <v>455000</v>
      </c>
      <c r="D27" s="31">
        <v>0</v>
      </c>
      <c r="E27" s="27">
        <f t="shared" si="2"/>
        <v>455000</v>
      </c>
      <c r="F27" s="31">
        <f>2000-1600</f>
        <v>400</v>
      </c>
      <c r="G27" s="31">
        <v>0</v>
      </c>
      <c r="H27" s="27">
        <f>F27+G27</f>
        <v>400</v>
      </c>
      <c r="I27" s="27">
        <f t="shared" si="5"/>
        <v>455400</v>
      </c>
      <c r="J27" s="27">
        <f t="shared" si="4"/>
        <v>0</v>
      </c>
      <c r="K27" s="27">
        <f t="shared" si="4"/>
        <v>455400</v>
      </c>
    </row>
    <row r="28" spans="1:11" s="1" customFormat="1" ht="13.5" customHeight="1">
      <c r="A28" s="25" t="s">
        <v>33</v>
      </c>
      <c r="B28" s="20" t="s">
        <v>34</v>
      </c>
      <c r="C28" s="26">
        <v>3715000</v>
      </c>
      <c r="D28" s="26">
        <v>0</v>
      </c>
      <c r="E28" s="27">
        <f t="shared" si="2"/>
        <v>3715000</v>
      </c>
      <c r="F28" s="26">
        <f>-100000+38299-600000+7000</f>
        <v>-654701</v>
      </c>
      <c r="G28" s="26">
        <v>0</v>
      </c>
      <c r="H28" s="27">
        <f t="shared" si="3"/>
        <v>-654701</v>
      </c>
      <c r="I28" s="27">
        <f t="shared" si="5"/>
        <v>3060299</v>
      </c>
      <c r="J28" s="27">
        <f t="shared" si="4"/>
        <v>0</v>
      </c>
      <c r="K28" s="27">
        <f t="shared" si="4"/>
        <v>3060299</v>
      </c>
    </row>
    <row r="29" spans="1:11" s="1" customFormat="1" ht="13.5" customHeight="1">
      <c r="A29" s="25" t="s">
        <v>35</v>
      </c>
      <c r="B29" s="20" t="s">
        <v>36</v>
      </c>
      <c r="C29" s="26">
        <v>173500</v>
      </c>
      <c r="D29" s="26">
        <v>0</v>
      </c>
      <c r="E29" s="27">
        <f t="shared" si="2"/>
        <v>173500</v>
      </c>
      <c r="F29" s="26">
        <f>6000+3550</f>
        <v>9550</v>
      </c>
      <c r="G29" s="26">
        <v>0</v>
      </c>
      <c r="H29" s="27">
        <f>F29+G29</f>
        <v>9550</v>
      </c>
      <c r="I29" s="27">
        <f t="shared" si="5"/>
        <v>183050</v>
      </c>
      <c r="J29" s="27">
        <f>D29+G29</f>
        <v>0</v>
      </c>
      <c r="K29" s="27">
        <f t="shared" si="4"/>
        <v>183050</v>
      </c>
    </row>
    <row r="30" spans="1:11" s="1" customFormat="1" ht="13.5" customHeight="1">
      <c r="A30" s="28">
        <v>60095</v>
      </c>
      <c r="B30" s="19" t="s">
        <v>23</v>
      </c>
      <c r="C30" s="23">
        <v>346946</v>
      </c>
      <c r="D30" s="23">
        <v>0</v>
      </c>
      <c r="E30" s="24">
        <f t="shared" si="2"/>
        <v>346946</v>
      </c>
      <c r="F30" s="23">
        <f>SUM(F31:F35)</f>
        <v>344514</v>
      </c>
      <c r="G30" s="23">
        <f>SUM(G36:G36)</f>
        <v>0</v>
      </c>
      <c r="H30" s="24">
        <f t="shared" si="3"/>
        <v>344514</v>
      </c>
      <c r="I30" s="24">
        <f t="shared" si="5"/>
        <v>691460</v>
      </c>
      <c r="J30" s="24">
        <f t="shared" si="4"/>
        <v>0</v>
      </c>
      <c r="K30" s="24">
        <f t="shared" si="4"/>
        <v>691460</v>
      </c>
    </row>
    <row r="31" spans="1:11" s="1" customFormat="1" ht="13.5" customHeight="1">
      <c r="A31" s="25" t="s">
        <v>29</v>
      </c>
      <c r="B31" s="30" t="s">
        <v>30</v>
      </c>
      <c r="C31" s="26">
        <v>4120</v>
      </c>
      <c r="D31" s="26">
        <v>0</v>
      </c>
      <c r="E31" s="27">
        <f t="shared" si="2"/>
        <v>4120</v>
      </c>
      <c r="F31" s="26">
        <v>10000</v>
      </c>
      <c r="G31" s="26">
        <v>0</v>
      </c>
      <c r="H31" s="27">
        <f t="shared" si="3"/>
        <v>10000</v>
      </c>
      <c r="I31" s="27">
        <f t="shared" si="5"/>
        <v>14120</v>
      </c>
      <c r="J31" s="27">
        <f t="shared" si="5"/>
        <v>0</v>
      </c>
      <c r="K31" s="27">
        <f t="shared" si="5"/>
        <v>14120</v>
      </c>
    </row>
    <row r="32" spans="1:11" s="1" customFormat="1" ht="13.5" customHeight="1">
      <c r="A32" s="25" t="s">
        <v>37</v>
      </c>
      <c r="B32" s="20" t="s">
        <v>38</v>
      </c>
      <c r="C32" s="26">
        <v>254700</v>
      </c>
      <c r="D32" s="26">
        <v>0</v>
      </c>
      <c r="E32" s="27">
        <f t="shared" si="2"/>
        <v>254700</v>
      </c>
      <c r="F32" s="26">
        <v>265300</v>
      </c>
      <c r="G32" s="26">
        <v>0</v>
      </c>
      <c r="H32" s="27">
        <f t="shared" si="3"/>
        <v>265300</v>
      </c>
      <c r="I32" s="27">
        <f t="shared" si="5"/>
        <v>520000</v>
      </c>
      <c r="J32" s="27">
        <f t="shared" si="5"/>
        <v>0</v>
      </c>
      <c r="K32" s="27">
        <f t="shared" si="5"/>
        <v>520000</v>
      </c>
    </row>
    <row r="33" spans="1:11" s="1" customFormat="1" ht="13.5" customHeight="1">
      <c r="A33" s="25" t="s">
        <v>39</v>
      </c>
      <c r="B33" s="20" t="s">
        <v>40</v>
      </c>
      <c r="C33" s="26">
        <v>43885</v>
      </c>
      <c r="D33" s="26">
        <v>0</v>
      </c>
      <c r="E33" s="27">
        <f t="shared" si="2"/>
        <v>43885</v>
      </c>
      <c r="F33" s="26">
        <v>45715</v>
      </c>
      <c r="G33" s="26">
        <v>0</v>
      </c>
      <c r="H33" s="27">
        <f t="shared" si="3"/>
        <v>45715</v>
      </c>
      <c r="I33" s="27">
        <f t="shared" si="5"/>
        <v>89600</v>
      </c>
      <c r="J33" s="27">
        <f t="shared" si="5"/>
        <v>0</v>
      </c>
      <c r="K33" s="27">
        <f t="shared" si="5"/>
        <v>89600</v>
      </c>
    </row>
    <row r="34" spans="1:11" s="1" customFormat="1" ht="13.5" customHeight="1">
      <c r="A34" s="25" t="s">
        <v>41</v>
      </c>
      <c r="B34" s="20" t="s">
        <v>42</v>
      </c>
      <c r="C34" s="26">
        <v>6241</v>
      </c>
      <c r="D34" s="26">
        <v>0</v>
      </c>
      <c r="E34" s="27">
        <f t="shared" si="2"/>
        <v>6241</v>
      </c>
      <c r="F34" s="26">
        <v>6499</v>
      </c>
      <c r="G34" s="26">
        <v>0</v>
      </c>
      <c r="H34" s="27">
        <f t="shared" si="3"/>
        <v>6499</v>
      </c>
      <c r="I34" s="27">
        <f t="shared" si="5"/>
        <v>12740</v>
      </c>
      <c r="J34" s="27">
        <f t="shared" si="5"/>
        <v>0</v>
      </c>
      <c r="K34" s="27">
        <f t="shared" si="5"/>
        <v>12740</v>
      </c>
    </row>
    <row r="35" spans="1:11" s="1" customFormat="1" ht="13.5" customHeight="1">
      <c r="A35" s="32" t="s">
        <v>43</v>
      </c>
      <c r="B35" s="21" t="s">
        <v>44</v>
      </c>
      <c r="C35" s="33">
        <v>20000</v>
      </c>
      <c r="D35" s="33">
        <v>0</v>
      </c>
      <c r="E35" s="34">
        <f t="shared" si="2"/>
        <v>20000</v>
      </c>
      <c r="F35" s="33">
        <v>17000</v>
      </c>
      <c r="G35" s="33">
        <v>0</v>
      </c>
      <c r="H35" s="34">
        <f t="shared" si="3"/>
        <v>17000</v>
      </c>
      <c r="I35" s="34">
        <f>C35+F35</f>
        <v>37000</v>
      </c>
      <c r="J35" s="34">
        <f t="shared" si="4"/>
        <v>0</v>
      </c>
      <c r="K35" s="34">
        <f>E35+H35</f>
        <v>37000</v>
      </c>
    </row>
    <row r="36" spans="1:11" s="1" customFormat="1" ht="15" customHeight="1">
      <c r="A36" s="3" t="s">
        <v>45</v>
      </c>
      <c r="B36" s="11" t="s">
        <v>46</v>
      </c>
      <c r="C36" s="12">
        <v>7880000</v>
      </c>
      <c r="D36" s="12">
        <v>440000</v>
      </c>
      <c r="E36" s="6">
        <f t="shared" si="2"/>
        <v>8320000</v>
      </c>
      <c r="F36" s="12">
        <f>F39+F42</f>
        <v>470232</v>
      </c>
      <c r="G36" s="12">
        <f>G42</f>
        <v>0</v>
      </c>
      <c r="H36" s="6">
        <f t="shared" si="3"/>
        <v>470232</v>
      </c>
      <c r="I36" s="6">
        <f>C36+F36</f>
        <v>8350232</v>
      </c>
      <c r="J36" s="6">
        <f>D36+G36</f>
        <v>440000</v>
      </c>
      <c r="K36" s="6">
        <f>E36+H36</f>
        <v>8790232</v>
      </c>
    </row>
    <row r="37" spans="1:11" s="1" customFormat="1" ht="13.5" customHeight="1">
      <c r="A37" s="13"/>
      <c r="B37" s="14" t="s">
        <v>13</v>
      </c>
      <c r="C37" s="15"/>
      <c r="D37" s="15"/>
      <c r="E37" s="8"/>
      <c r="F37" s="15"/>
      <c r="G37" s="15"/>
      <c r="H37" s="8"/>
      <c r="I37" s="8"/>
      <c r="J37" s="8"/>
      <c r="K37" s="8"/>
    </row>
    <row r="38" spans="1:11" s="1" customFormat="1" ht="13.5" customHeight="1">
      <c r="A38" s="16"/>
      <c r="B38" s="17" t="s">
        <v>15</v>
      </c>
      <c r="C38" s="18">
        <v>3792000</v>
      </c>
      <c r="D38" s="18">
        <v>440000</v>
      </c>
      <c r="E38" s="10">
        <f aca="true" t="shared" si="6" ref="E38:E43">SUM(C38:D38)</f>
        <v>4232000</v>
      </c>
      <c r="F38" s="18">
        <f>F43</f>
        <v>182332</v>
      </c>
      <c r="G38" s="18">
        <v>0</v>
      </c>
      <c r="H38" s="10">
        <f aca="true" t="shared" si="7" ref="H38:H43">F38+G38</f>
        <v>182332</v>
      </c>
      <c r="I38" s="10">
        <f aca="true" t="shared" si="8" ref="I38:K44">C38+F38</f>
        <v>3974332</v>
      </c>
      <c r="J38" s="10">
        <f t="shared" si="8"/>
        <v>440000</v>
      </c>
      <c r="K38" s="10">
        <f t="shared" si="8"/>
        <v>4414332</v>
      </c>
    </row>
    <row r="39" spans="1:11" s="1" customFormat="1" ht="13.5" customHeight="1">
      <c r="A39" s="28">
        <v>70001</v>
      </c>
      <c r="B39" s="19" t="s">
        <v>47</v>
      </c>
      <c r="C39" s="23">
        <v>2465000</v>
      </c>
      <c r="D39" s="23">
        <v>0</v>
      </c>
      <c r="E39" s="24">
        <f t="shared" si="6"/>
        <v>2465000</v>
      </c>
      <c r="F39" s="23">
        <f>SUM(F40:F41)</f>
        <v>287900</v>
      </c>
      <c r="G39" s="23">
        <v>0</v>
      </c>
      <c r="H39" s="24">
        <f t="shared" si="7"/>
        <v>287900</v>
      </c>
      <c r="I39" s="24">
        <f t="shared" si="8"/>
        <v>2752900</v>
      </c>
      <c r="J39" s="24">
        <f t="shared" si="8"/>
        <v>0</v>
      </c>
      <c r="K39" s="24">
        <f t="shared" si="8"/>
        <v>2752900</v>
      </c>
    </row>
    <row r="40" spans="1:11" s="1" customFormat="1" ht="13.5" customHeight="1">
      <c r="A40" s="25" t="s">
        <v>48</v>
      </c>
      <c r="B40" s="20" t="s">
        <v>49</v>
      </c>
      <c r="C40" s="26">
        <v>2465000</v>
      </c>
      <c r="D40" s="26">
        <v>0</v>
      </c>
      <c r="E40" s="27">
        <f t="shared" si="6"/>
        <v>2465000</v>
      </c>
      <c r="F40" s="26">
        <v>157900</v>
      </c>
      <c r="G40" s="26">
        <v>0</v>
      </c>
      <c r="H40" s="27">
        <f t="shared" si="7"/>
        <v>157900</v>
      </c>
      <c r="I40" s="27">
        <f t="shared" si="8"/>
        <v>2622900</v>
      </c>
      <c r="J40" s="27">
        <f t="shared" si="8"/>
        <v>0</v>
      </c>
      <c r="K40" s="27">
        <f t="shared" si="8"/>
        <v>2622900</v>
      </c>
    </row>
    <row r="41" spans="1:11" s="1" customFormat="1" ht="13.5" customHeight="1">
      <c r="A41" s="25" t="s">
        <v>24</v>
      </c>
      <c r="B41" s="20" t="s">
        <v>25</v>
      </c>
      <c r="C41" s="26">
        <v>0</v>
      </c>
      <c r="D41" s="26">
        <v>0</v>
      </c>
      <c r="E41" s="27">
        <f t="shared" si="6"/>
        <v>0</v>
      </c>
      <c r="F41" s="26">
        <v>130000</v>
      </c>
      <c r="G41" s="26">
        <v>0</v>
      </c>
      <c r="H41" s="27">
        <f t="shared" si="7"/>
        <v>130000</v>
      </c>
      <c r="I41" s="27">
        <f t="shared" si="8"/>
        <v>130000</v>
      </c>
      <c r="J41" s="27">
        <f t="shared" si="8"/>
        <v>0</v>
      </c>
      <c r="K41" s="27">
        <f t="shared" si="8"/>
        <v>130000</v>
      </c>
    </row>
    <row r="42" spans="1:11" s="1" customFormat="1" ht="13.5" customHeight="1">
      <c r="A42" s="28">
        <v>70095</v>
      </c>
      <c r="B42" s="19" t="s">
        <v>23</v>
      </c>
      <c r="C42" s="23">
        <v>3615000</v>
      </c>
      <c r="D42" s="23">
        <v>440000</v>
      </c>
      <c r="E42" s="24">
        <f t="shared" si="6"/>
        <v>4055000</v>
      </c>
      <c r="F42" s="23">
        <f>SUM(F43:F43)</f>
        <v>182332</v>
      </c>
      <c r="G42" s="23">
        <f>SUM(G43:G43)</f>
        <v>0</v>
      </c>
      <c r="H42" s="24">
        <f t="shared" si="7"/>
        <v>182332</v>
      </c>
      <c r="I42" s="24">
        <f t="shared" si="8"/>
        <v>3797332</v>
      </c>
      <c r="J42" s="24">
        <f t="shared" si="8"/>
        <v>440000</v>
      </c>
      <c r="K42" s="24">
        <f t="shared" si="8"/>
        <v>4237332</v>
      </c>
    </row>
    <row r="43" spans="1:11" s="1" customFormat="1" ht="13.5" customHeight="1">
      <c r="A43" s="25" t="s">
        <v>33</v>
      </c>
      <c r="B43" s="20" t="s">
        <v>34</v>
      </c>
      <c r="C43" s="26">
        <v>3122000</v>
      </c>
      <c r="D43" s="26">
        <v>440000</v>
      </c>
      <c r="E43" s="27">
        <f t="shared" si="6"/>
        <v>3562000</v>
      </c>
      <c r="F43" s="26">
        <f>35000+147332</f>
        <v>182332</v>
      </c>
      <c r="G43" s="26">
        <v>0</v>
      </c>
      <c r="H43" s="27">
        <f t="shared" si="7"/>
        <v>182332</v>
      </c>
      <c r="I43" s="27">
        <f t="shared" si="8"/>
        <v>3304332</v>
      </c>
      <c r="J43" s="27">
        <f t="shared" si="8"/>
        <v>440000</v>
      </c>
      <c r="K43" s="27">
        <f t="shared" si="8"/>
        <v>3744332</v>
      </c>
    </row>
    <row r="44" spans="1:11" s="1" customFormat="1" ht="13.5" customHeight="1">
      <c r="A44" s="3" t="s">
        <v>50</v>
      </c>
      <c r="B44" s="11" t="s">
        <v>51</v>
      </c>
      <c r="C44" s="12">
        <v>17519486</v>
      </c>
      <c r="D44" s="12">
        <v>802670</v>
      </c>
      <c r="E44" s="6">
        <f>SUM(C44:D44)</f>
        <v>18322156</v>
      </c>
      <c r="F44" s="12">
        <f>F47+F52</f>
        <v>-132149</v>
      </c>
      <c r="G44" s="12">
        <v>0</v>
      </c>
      <c r="H44" s="6">
        <f>F44+G44</f>
        <v>-132149</v>
      </c>
      <c r="I44" s="6">
        <f t="shared" si="8"/>
        <v>17387337</v>
      </c>
      <c r="J44" s="6">
        <f t="shared" si="8"/>
        <v>802670</v>
      </c>
      <c r="K44" s="6">
        <f t="shared" si="8"/>
        <v>18190007</v>
      </c>
    </row>
    <row r="45" spans="1:11" s="1" customFormat="1" ht="13.5" customHeight="1">
      <c r="A45" s="13"/>
      <c r="B45" s="14" t="s">
        <v>13</v>
      </c>
      <c r="C45" s="15"/>
      <c r="D45" s="15"/>
      <c r="E45" s="8"/>
      <c r="F45" s="15"/>
      <c r="G45" s="15"/>
      <c r="H45" s="8"/>
      <c r="I45" s="8"/>
      <c r="J45" s="8"/>
      <c r="K45" s="8"/>
    </row>
    <row r="46" spans="1:11" s="1" customFormat="1" ht="13.5" customHeight="1">
      <c r="A46" s="16"/>
      <c r="B46" s="17" t="s">
        <v>15</v>
      </c>
      <c r="C46" s="18">
        <v>1921449</v>
      </c>
      <c r="D46" s="18">
        <v>364078</v>
      </c>
      <c r="E46" s="10">
        <f aca="true" t="shared" si="9" ref="E46:E53">SUM(C46:D46)</f>
        <v>2285527</v>
      </c>
      <c r="F46" s="18">
        <f>F50+F51</f>
        <v>152571</v>
      </c>
      <c r="G46" s="18">
        <v>0</v>
      </c>
      <c r="H46" s="10">
        <f aca="true" t="shared" si="10" ref="H46:H53">F46+G46</f>
        <v>152571</v>
      </c>
      <c r="I46" s="10">
        <f aca="true" t="shared" si="11" ref="I46:K53">C46+F46</f>
        <v>2074020</v>
      </c>
      <c r="J46" s="10">
        <f t="shared" si="11"/>
        <v>364078</v>
      </c>
      <c r="K46" s="10">
        <f t="shared" si="11"/>
        <v>2438098</v>
      </c>
    </row>
    <row r="47" spans="1:11" s="1" customFormat="1" ht="13.5" customHeight="1">
      <c r="A47" s="28">
        <v>75023</v>
      </c>
      <c r="B47" s="19" t="s">
        <v>52</v>
      </c>
      <c r="C47" s="23">
        <v>16296160</v>
      </c>
      <c r="D47" s="23">
        <v>364078</v>
      </c>
      <c r="E47" s="24">
        <f t="shared" si="9"/>
        <v>16660238</v>
      </c>
      <c r="F47" s="23">
        <f>SUM(F48:F51)</f>
        <v>-137149</v>
      </c>
      <c r="G47" s="23">
        <v>0</v>
      </c>
      <c r="H47" s="24">
        <f t="shared" si="10"/>
        <v>-137149</v>
      </c>
      <c r="I47" s="24">
        <f t="shared" si="11"/>
        <v>16159011</v>
      </c>
      <c r="J47" s="24">
        <f t="shared" si="11"/>
        <v>364078</v>
      </c>
      <c r="K47" s="24">
        <f t="shared" si="11"/>
        <v>16523089</v>
      </c>
    </row>
    <row r="48" spans="1:11" s="1" customFormat="1" ht="13.5" customHeight="1">
      <c r="A48" s="25" t="s">
        <v>37</v>
      </c>
      <c r="B48" s="20" t="s">
        <v>53</v>
      </c>
      <c r="C48" s="26">
        <v>8950989</v>
      </c>
      <c r="D48" s="26">
        <v>0</v>
      </c>
      <c r="E48" s="27">
        <f>SUM(C48:D48)</f>
        <v>8950989</v>
      </c>
      <c r="F48" s="26">
        <v>-310840</v>
      </c>
      <c r="G48" s="26">
        <v>0</v>
      </c>
      <c r="H48" s="27">
        <f>F48+G48</f>
        <v>-310840</v>
      </c>
      <c r="I48" s="27">
        <f t="shared" si="11"/>
        <v>8640149</v>
      </c>
      <c r="J48" s="27">
        <f t="shared" si="11"/>
        <v>0</v>
      </c>
      <c r="K48" s="27">
        <f t="shared" si="11"/>
        <v>8640149</v>
      </c>
    </row>
    <row r="49" spans="1:11" s="1" customFormat="1" ht="13.5" customHeight="1">
      <c r="A49" s="25" t="s">
        <v>24</v>
      </c>
      <c r="B49" s="20" t="s">
        <v>25</v>
      </c>
      <c r="C49" s="26">
        <v>1618499</v>
      </c>
      <c r="D49" s="26">
        <v>0</v>
      </c>
      <c r="E49" s="27">
        <f>SUM(C49:D49)</f>
        <v>1618499</v>
      </c>
      <c r="F49" s="26">
        <f>10750+10370</f>
        <v>21120</v>
      </c>
      <c r="G49" s="26">
        <v>0</v>
      </c>
      <c r="H49" s="27">
        <f>F49+G49</f>
        <v>21120</v>
      </c>
      <c r="I49" s="27">
        <f t="shared" si="11"/>
        <v>1639619</v>
      </c>
      <c r="J49" s="27">
        <f t="shared" si="11"/>
        <v>0</v>
      </c>
      <c r="K49" s="27">
        <f t="shared" si="11"/>
        <v>1639619</v>
      </c>
    </row>
    <row r="50" spans="1:11" s="1" customFormat="1" ht="13.5" customHeight="1">
      <c r="A50" s="25" t="s">
        <v>33</v>
      </c>
      <c r="B50" s="20" t="s">
        <v>34</v>
      </c>
      <c r="C50" s="26">
        <v>1007371</v>
      </c>
      <c r="D50" s="26">
        <v>0</v>
      </c>
      <c r="E50" s="27">
        <f>SUM(C50:D50)</f>
        <v>1007371</v>
      </c>
      <c r="F50" s="26">
        <f>29646+100000</f>
        <v>129646</v>
      </c>
      <c r="G50" s="26">
        <v>0</v>
      </c>
      <c r="H50" s="27">
        <f>F50+G50</f>
        <v>129646</v>
      </c>
      <c r="I50" s="27">
        <f t="shared" si="11"/>
        <v>1137017</v>
      </c>
      <c r="J50" s="27">
        <f t="shared" si="11"/>
        <v>0</v>
      </c>
      <c r="K50" s="27">
        <f t="shared" si="11"/>
        <v>1137017</v>
      </c>
    </row>
    <row r="51" spans="1:11" s="20" customFormat="1" ht="13.5" customHeight="1">
      <c r="A51" s="25" t="s">
        <v>35</v>
      </c>
      <c r="B51" s="20" t="s">
        <v>36</v>
      </c>
      <c r="C51" s="26">
        <v>550000</v>
      </c>
      <c r="D51" s="26">
        <v>0</v>
      </c>
      <c r="E51" s="27">
        <f>SUM(C51:D51)</f>
        <v>550000</v>
      </c>
      <c r="F51" s="26">
        <v>22925</v>
      </c>
      <c r="G51" s="26">
        <v>0</v>
      </c>
      <c r="H51" s="27">
        <f>F51+G51</f>
        <v>22925</v>
      </c>
      <c r="I51" s="27">
        <f>C51+F51</f>
        <v>572925</v>
      </c>
      <c r="J51" s="27">
        <f>D51+G51</f>
        <v>0</v>
      </c>
      <c r="K51" s="27">
        <f>E51+H51</f>
        <v>572925</v>
      </c>
    </row>
    <row r="52" spans="1:11" s="1" customFormat="1" ht="13.5" customHeight="1">
      <c r="A52" s="28">
        <v>75095</v>
      </c>
      <c r="B52" s="19" t="s">
        <v>23</v>
      </c>
      <c r="C52" s="23">
        <v>715026</v>
      </c>
      <c r="D52" s="23">
        <v>0</v>
      </c>
      <c r="E52" s="24">
        <f t="shared" si="9"/>
        <v>715026</v>
      </c>
      <c r="F52" s="23">
        <f>SUM(F53:F53)</f>
        <v>5000</v>
      </c>
      <c r="G52" s="23">
        <v>0</v>
      </c>
      <c r="H52" s="24">
        <f t="shared" si="10"/>
        <v>5000</v>
      </c>
      <c r="I52" s="24">
        <f t="shared" si="11"/>
        <v>720026</v>
      </c>
      <c r="J52" s="24">
        <f t="shared" si="11"/>
        <v>0</v>
      </c>
      <c r="K52" s="24">
        <f t="shared" si="11"/>
        <v>720026</v>
      </c>
    </row>
    <row r="53" spans="1:11" s="20" customFormat="1" ht="13.5" customHeight="1">
      <c r="A53" s="25" t="s">
        <v>54</v>
      </c>
      <c r="B53" s="20" t="s">
        <v>55</v>
      </c>
      <c r="C53" s="26">
        <v>3000</v>
      </c>
      <c r="D53" s="26">
        <v>0</v>
      </c>
      <c r="E53" s="27">
        <f t="shared" si="9"/>
        <v>3000</v>
      </c>
      <c r="F53" s="26">
        <v>5000</v>
      </c>
      <c r="G53" s="26">
        <v>0</v>
      </c>
      <c r="H53" s="27">
        <f t="shared" si="10"/>
        <v>5000</v>
      </c>
      <c r="I53" s="27">
        <f t="shared" si="11"/>
        <v>8000</v>
      </c>
      <c r="J53" s="27">
        <f t="shared" si="11"/>
        <v>0</v>
      </c>
      <c r="K53" s="27">
        <f t="shared" si="11"/>
        <v>8000</v>
      </c>
    </row>
    <row r="54" spans="1:11" s="1" customFormat="1" ht="13.5" customHeight="1">
      <c r="A54" s="3" t="s">
        <v>56</v>
      </c>
      <c r="B54" s="11" t="s">
        <v>57</v>
      </c>
      <c r="C54" s="12">
        <v>1904671</v>
      </c>
      <c r="D54" s="12">
        <v>3000</v>
      </c>
      <c r="E54" s="6">
        <f>SUM(C54:D54)</f>
        <v>1907671</v>
      </c>
      <c r="F54" s="12">
        <f>F57</f>
        <v>0</v>
      </c>
      <c r="G54" s="12">
        <v>0</v>
      </c>
      <c r="H54" s="6">
        <f>F54+G54</f>
        <v>0</v>
      </c>
      <c r="I54" s="6">
        <f>C54+F54</f>
        <v>1904671</v>
      </c>
      <c r="J54" s="6">
        <f>D54+G54</f>
        <v>3000</v>
      </c>
      <c r="K54" s="6">
        <f>E54+H54</f>
        <v>1907671</v>
      </c>
    </row>
    <row r="55" spans="1:11" s="1" customFormat="1" ht="13.5" customHeight="1">
      <c r="A55" s="13"/>
      <c r="B55" s="14" t="s">
        <v>13</v>
      </c>
      <c r="C55" s="15"/>
      <c r="D55" s="15"/>
      <c r="E55" s="8"/>
      <c r="F55" s="15"/>
      <c r="G55" s="15"/>
      <c r="H55" s="8"/>
      <c r="I55" s="8"/>
      <c r="J55" s="35"/>
      <c r="K55" s="8"/>
    </row>
    <row r="56" spans="1:11" s="1" customFormat="1" ht="13.5" customHeight="1">
      <c r="A56" s="13"/>
      <c r="B56" s="14" t="s">
        <v>15</v>
      </c>
      <c r="C56" s="15">
        <v>108000</v>
      </c>
      <c r="D56" s="15">
        <v>0</v>
      </c>
      <c r="E56" s="8">
        <f>SUM(C56:D56)</f>
        <v>108000</v>
      </c>
      <c r="F56" s="15">
        <v>0</v>
      </c>
      <c r="G56" s="15">
        <v>0</v>
      </c>
      <c r="H56" s="8">
        <f>F56+G56</f>
        <v>0</v>
      </c>
      <c r="I56" s="8">
        <f>C56+F56</f>
        <v>108000</v>
      </c>
      <c r="J56" s="8">
        <f>D56+G56</f>
        <v>0</v>
      </c>
      <c r="K56" s="8">
        <f>E56+H56</f>
        <v>108000</v>
      </c>
    </row>
    <row r="57" spans="1:11" s="1" customFormat="1" ht="13.5" customHeight="1">
      <c r="A57" s="36">
        <v>75414</v>
      </c>
      <c r="B57" s="37" t="s">
        <v>58</v>
      </c>
      <c r="C57" s="38">
        <v>37000</v>
      </c>
      <c r="D57" s="38">
        <v>3000</v>
      </c>
      <c r="E57" s="24">
        <f>SUM(C57:D57)</f>
        <v>40000</v>
      </c>
      <c r="F57" s="38">
        <f>SUM(F58:F59)</f>
        <v>0</v>
      </c>
      <c r="G57" s="38">
        <v>0</v>
      </c>
      <c r="H57" s="24">
        <f>F57+G57</f>
        <v>0</v>
      </c>
      <c r="I57" s="24">
        <f aca="true" t="shared" si="12" ref="I57:J60">C57+F57</f>
        <v>37000</v>
      </c>
      <c r="J57" s="24">
        <f t="shared" si="12"/>
        <v>3000</v>
      </c>
      <c r="K57" s="24">
        <f>SUM(E57+H57)</f>
        <v>40000</v>
      </c>
    </row>
    <row r="58" spans="1:11" s="1" customFormat="1" ht="13.5" customHeight="1">
      <c r="A58" s="29" t="s">
        <v>31</v>
      </c>
      <c r="B58" s="30" t="s">
        <v>32</v>
      </c>
      <c r="C58" s="31">
        <v>16000</v>
      </c>
      <c r="D58" s="31">
        <v>0</v>
      </c>
      <c r="E58" s="27">
        <f>SUM(C58:D58)</f>
        <v>16000</v>
      </c>
      <c r="F58" s="31">
        <f>-900</f>
        <v>-900</v>
      </c>
      <c r="G58" s="31">
        <v>0</v>
      </c>
      <c r="H58" s="27">
        <f>F58+G58</f>
        <v>-900</v>
      </c>
      <c r="I58" s="27">
        <f t="shared" si="12"/>
        <v>15100</v>
      </c>
      <c r="J58" s="27">
        <f t="shared" si="12"/>
        <v>0</v>
      </c>
      <c r="K58" s="27">
        <f>E58+H58</f>
        <v>15100</v>
      </c>
    </row>
    <row r="59" spans="1:11" s="1" customFormat="1" ht="13.5" customHeight="1">
      <c r="A59" s="29" t="s">
        <v>24</v>
      </c>
      <c r="B59" s="30" t="s">
        <v>25</v>
      </c>
      <c r="C59" s="31">
        <v>14000</v>
      </c>
      <c r="D59" s="31">
        <v>3000</v>
      </c>
      <c r="E59" s="27">
        <f>SUM(C59:D59)</f>
        <v>17000</v>
      </c>
      <c r="F59" s="31">
        <v>900</v>
      </c>
      <c r="G59" s="31">
        <v>0</v>
      </c>
      <c r="H59" s="27">
        <f>F59+G59</f>
        <v>900</v>
      </c>
      <c r="I59" s="27">
        <f t="shared" si="12"/>
        <v>14900</v>
      </c>
      <c r="J59" s="27">
        <f t="shared" si="12"/>
        <v>3000</v>
      </c>
      <c r="K59" s="27">
        <f>E59+H59</f>
        <v>17900</v>
      </c>
    </row>
    <row r="60" spans="1:11" s="1" customFormat="1" ht="13.5" customHeight="1">
      <c r="A60" s="3" t="s">
        <v>59</v>
      </c>
      <c r="B60" s="11" t="s">
        <v>60</v>
      </c>
      <c r="C60" s="12">
        <v>3528827</v>
      </c>
      <c r="D60" s="12">
        <v>0</v>
      </c>
      <c r="E60" s="6">
        <f>SUM(C60:D60)</f>
        <v>3528827</v>
      </c>
      <c r="F60" s="12">
        <f>F63</f>
        <v>1230000</v>
      </c>
      <c r="G60" s="12">
        <v>0</v>
      </c>
      <c r="H60" s="6">
        <f>F60+G60</f>
        <v>1230000</v>
      </c>
      <c r="I60" s="6">
        <f t="shared" si="12"/>
        <v>4758827</v>
      </c>
      <c r="J60" s="6">
        <f t="shared" si="12"/>
        <v>0</v>
      </c>
      <c r="K60" s="6">
        <f>E60+H60</f>
        <v>4758827</v>
      </c>
    </row>
    <row r="61" spans="1:11" s="1" customFormat="1" ht="13.5" customHeight="1">
      <c r="A61" s="13"/>
      <c r="B61" s="14" t="s">
        <v>13</v>
      </c>
      <c r="C61" s="15"/>
      <c r="D61" s="15"/>
      <c r="E61" s="8"/>
      <c r="F61" s="15"/>
      <c r="G61" s="15"/>
      <c r="H61" s="8"/>
      <c r="I61" s="8"/>
      <c r="J61" s="8"/>
      <c r="K61" s="8"/>
    </row>
    <row r="62" spans="1:11" s="1" customFormat="1" ht="13.5" customHeight="1">
      <c r="A62" s="16"/>
      <c r="B62" s="17" t="s">
        <v>15</v>
      </c>
      <c r="C62" s="18">
        <v>142889</v>
      </c>
      <c r="D62" s="18">
        <v>0</v>
      </c>
      <c r="E62" s="10">
        <f>SUM(C62:D62)</f>
        <v>142889</v>
      </c>
      <c r="F62" s="18">
        <f>F65</f>
        <v>530000</v>
      </c>
      <c r="G62" s="18">
        <v>0</v>
      </c>
      <c r="H62" s="10">
        <f>F62+G62</f>
        <v>530000</v>
      </c>
      <c r="I62" s="10">
        <f aca="true" t="shared" si="13" ref="I62:K66">C62+F62</f>
        <v>672889</v>
      </c>
      <c r="J62" s="10">
        <f t="shared" si="13"/>
        <v>0</v>
      </c>
      <c r="K62" s="10">
        <f t="shared" si="13"/>
        <v>672889</v>
      </c>
    </row>
    <row r="63" spans="1:11" s="37" customFormat="1" ht="13.5" customHeight="1">
      <c r="A63" s="36">
        <v>75818</v>
      </c>
      <c r="B63" s="37" t="s">
        <v>61</v>
      </c>
      <c r="C63" s="23">
        <v>3490826</v>
      </c>
      <c r="D63" s="23">
        <v>0</v>
      </c>
      <c r="E63" s="24">
        <f>SUM(C63:D63)</f>
        <v>3490826</v>
      </c>
      <c r="F63" s="38">
        <f>SUM(F64:F65)</f>
        <v>1230000</v>
      </c>
      <c r="G63" s="38">
        <f>SUM(G64:G65)</f>
        <v>0</v>
      </c>
      <c r="H63" s="24">
        <f>F63+G63</f>
        <v>1230000</v>
      </c>
      <c r="I63" s="24">
        <f t="shared" si="13"/>
        <v>4720826</v>
      </c>
      <c r="J63" s="24">
        <f t="shared" si="13"/>
        <v>0</v>
      </c>
      <c r="K63" s="24">
        <f t="shared" si="13"/>
        <v>4720826</v>
      </c>
    </row>
    <row r="64" spans="1:11" s="30" customFormat="1" ht="13.5" customHeight="1">
      <c r="A64" s="29" t="s">
        <v>62</v>
      </c>
      <c r="B64" s="30" t="s">
        <v>63</v>
      </c>
      <c r="C64" s="26">
        <v>25000</v>
      </c>
      <c r="D64" s="26">
        <v>0</v>
      </c>
      <c r="E64" s="27">
        <f>SUM(C64:D64)</f>
        <v>25000</v>
      </c>
      <c r="F64" s="31">
        <v>700000</v>
      </c>
      <c r="G64" s="31">
        <v>0</v>
      </c>
      <c r="H64" s="27">
        <f>F64+G64</f>
        <v>700000</v>
      </c>
      <c r="I64" s="27">
        <f t="shared" si="13"/>
        <v>725000</v>
      </c>
      <c r="J64" s="27">
        <f t="shared" si="13"/>
        <v>0</v>
      </c>
      <c r="K64" s="27">
        <f t="shared" si="13"/>
        <v>725000</v>
      </c>
    </row>
    <row r="65" spans="1:11" s="39" customFormat="1" ht="13.5" customHeight="1">
      <c r="A65" s="29" t="s">
        <v>64</v>
      </c>
      <c r="B65" s="30" t="s">
        <v>65</v>
      </c>
      <c r="C65" s="26">
        <v>142889</v>
      </c>
      <c r="D65" s="26">
        <v>0</v>
      </c>
      <c r="E65" s="27">
        <f>SUM(C65:D65)</f>
        <v>142889</v>
      </c>
      <c r="F65" s="31">
        <v>530000</v>
      </c>
      <c r="G65" s="31">
        <v>0</v>
      </c>
      <c r="H65" s="27">
        <f>F65+G65</f>
        <v>530000</v>
      </c>
      <c r="I65" s="27">
        <f t="shared" si="13"/>
        <v>672889</v>
      </c>
      <c r="J65" s="27">
        <f t="shared" si="13"/>
        <v>0</v>
      </c>
      <c r="K65" s="27">
        <f t="shared" si="13"/>
        <v>672889</v>
      </c>
    </row>
    <row r="66" spans="1:11" s="1" customFormat="1" ht="13.5" customHeight="1">
      <c r="A66" s="3" t="s">
        <v>66</v>
      </c>
      <c r="B66" s="11" t="s">
        <v>67</v>
      </c>
      <c r="C66" s="12">
        <v>38986038</v>
      </c>
      <c r="D66" s="12">
        <v>0</v>
      </c>
      <c r="E66" s="6">
        <f>SUM(C66:D66)</f>
        <v>38986038</v>
      </c>
      <c r="F66" s="12">
        <f>F69+F78+F80+F94</f>
        <v>-224301</v>
      </c>
      <c r="G66" s="12">
        <v>0</v>
      </c>
      <c r="H66" s="6">
        <f>F66+G66</f>
        <v>-224301</v>
      </c>
      <c r="I66" s="6">
        <f t="shared" si="13"/>
        <v>38761737</v>
      </c>
      <c r="J66" s="6">
        <f t="shared" si="13"/>
        <v>0</v>
      </c>
      <c r="K66" s="6">
        <f t="shared" si="13"/>
        <v>38761737</v>
      </c>
    </row>
    <row r="67" spans="1:11" s="1" customFormat="1" ht="13.5" customHeight="1">
      <c r="A67" s="13"/>
      <c r="B67" s="14" t="s">
        <v>13</v>
      </c>
      <c r="C67" s="15"/>
      <c r="D67" s="15"/>
      <c r="E67" s="8"/>
      <c r="F67" s="15"/>
      <c r="G67" s="15"/>
      <c r="H67" s="8"/>
      <c r="I67" s="8"/>
      <c r="J67" s="8"/>
      <c r="K67" s="8"/>
    </row>
    <row r="68" spans="1:11" s="1" customFormat="1" ht="13.5" customHeight="1">
      <c r="A68" s="16"/>
      <c r="B68" s="17" t="s">
        <v>15</v>
      </c>
      <c r="C68" s="18">
        <v>1060000</v>
      </c>
      <c r="D68" s="18">
        <v>0</v>
      </c>
      <c r="E68" s="10">
        <f aca="true" t="shared" si="14" ref="E68:E77">SUM(C68:D68)</f>
        <v>1060000</v>
      </c>
      <c r="F68" s="18">
        <f>F77+F79+F93</f>
        <v>-266581</v>
      </c>
      <c r="G68" s="18">
        <v>0</v>
      </c>
      <c r="H68" s="10">
        <f aca="true" t="shared" si="15" ref="H68:H77">F68+G68</f>
        <v>-266581</v>
      </c>
      <c r="I68" s="10">
        <f>C68+F68</f>
        <v>793419</v>
      </c>
      <c r="J68" s="10">
        <f>D68+G68</f>
        <v>0</v>
      </c>
      <c r="K68" s="10">
        <f>E68+H68</f>
        <v>793419</v>
      </c>
    </row>
    <row r="69" spans="1:11" s="1" customFormat="1" ht="13.5" customHeight="1">
      <c r="A69" s="36">
        <v>80101</v>
      </c>
      <c r="B69" s="37" t="s">
        <v>68</v>
      </c>
      <c r="C69" s="38">
        <v>15838166</v>
      </c>
      <c r="D69" s="38">
        <v>0</v>
      </c>
      <c r="E69" s="24">
        <f t="shared" si="14"/>
        <v>15838166</v>
      </c>
      <c r="F69" s="38">
        <f>SUM(F70:F77)</f>
        <v>-232681</v>
      </c>
      <c r="G69" s="38">
        <f>SUM(G74:G74)</f>
        <v>0</v>
      </c>
      <c r="H69" s="24">
        <f t="shared" si="15"/>
        <v>-232681</v>
      </c>
      <c r="I69" s="24">
        <f aca="true" t="shared" si="16" ref="I69:K84">C69+F69</f>
        <v>15605485</v>
      </c>
      <c r="J69" s="24">
        <f t="shared" si="16"/>
        <v>0</v>
      </c>
      <c r="K69" s="24">
        <f>SUM(E69+H69)</f>
        <v>15605485</v>
      </c>
    </row>
    <row r="70" spans="1:11" s="30" customFormat="1" ht="13.5" customHeight="1">
      <c r="A70" s="40" t="s">
        <v>37</v>
      </c>
      <c r="B70" s="41" t="s">
        <v>53</v>
      </c>
      <c r="C70" s="33">
        <v>10060480</v>
      </c>
      <c r="D70" s="33">
        <v>0</v>
      </c>
      <c r="E70" s="34">
        <f t="shared" si="14"/>
        <v>10060480</v>
      </c>
      <c r="F70" s="42">
        <f>2254+1577+5008</f>
        <v>8839</v>
      </c>
      <c r="G70" s="42">
        <v>0</v>
      </c>
      <c r="H70" s="34">
        <f t="shared" si="15"/>
        <v>8839</v>
      </c>
      <c r="I70" s="34">
        <f t="shared" si="16"/>
        <v>10069319</v>
      </c>
      <c r="J70" s="34">
        <f t="shared" si="16"/>
        <v>0</v>
      </c>
      <c r="K70" s="34">
        <f t="shared" si="16"/>
        <v>10069319</v>
      </c>
    </row>
    <row r="71" spans="1:11" s="30" customFormat="1" ht="13.5" customHeight="1">
      <c r="A71" s="36" t="s">
        <v>69</v>
      </c>
      <c r="B71" s="37" t="s">
        <v>70</v>
      </c>
      <c r="C71" s="23">
        <v>823463</v>
      </c>
      <c r="D71" s="23">
        <v>0</v>
      </c>
      <c r="E71" s="24">
        <f t="shared" si="14"/>
        <v>823463</v>
      </c>
      <c r="F71" s="38">
        <f>-1858-986-5202-12588-2923</f>
        <v>-23557</v>
      </c>
      <c r="G71" s="38">
        <v>0</v>
      </c>
      <c r="H71" s="24">
        <f t="shared" si="15"/>
        <v>-23557</v>
      </c>
      <c r="I71" s="24">
        <f t="shared" si="16"/>
        <v>799906</v>
      </c>
      <c r="J71" s="24">
        <f t="shared" si="16"/>
        <v>0</v>
      </c>
      <c r="K71" s="24">
        <f t="shared" si="16"/>
        <v>799906</v>
      </c>
    </row>
    <row r="72" spans="1:11" s="1" customFormat="1" ht="13.5" customHeight="1">
      <c r="A72" s="29" t="s">
        <v>71</v>
      </c>
      <c r="B72" s="30" t="s">
        <v>72</v>
      </c>
      <c r="C72" s="31">
        <v>15337</v>
      </c>
      <c r="D72" s="31">
        <v>0</v>
      </c>
      <c r="E72" s="27">
        <f>SUM(C72:D72)</f>
        <v>15337</v>
      </c>
      <c r="F72" s="31">
        <v>5000</v>
      </c>
      <c r="G72" s="31">
        <v>0</v>
      </c>
      <c r="H72" s="27">
        <f>F72+G72</f>
        <v>5000</v>
      </c>
      <c r="I72" s="27">
        <f>C72+F72</f>
        <v>20337</v>
      </c>
      <c r="J72" s="27">
        <f>D72+G72</f>
        <v>0</v>
      </c>
      <c r="K72" s="27">
        <f>E72+H72</f>
        <v>20337</v>
      </c>
    </row>
    <row r="73" spans="1:11" s="1" customFormat="1" ht="13.5" customHeight="1">
      <c r="A73" s="29" t="s">
        <v>73</v>
      </c>
      <c r="B73" s="30" t="s">
        <v>74</v>
      </c>
      <c r="C73" s="31">
        <v>758370</v>
      </c>
      <c r="D73" s="31">
        <v>0</v>
      </c>
      <c r="E73" s="27">
        <f t="shared" si="14"/>
        <v>758370</v>
      </c>
      <c r="F73" s="31">
        <v>4932</v>
      </c>
      <c r="G73" s="31">
        <v>0</v>
      </c>
      <c r="H73" s="27">
        <f t="shared" si="15"/>
        <v>4932</v>
      </c>
      <c r="I73" s="27">
        <f t="shared" si="16"/>
        <v>763302</v>
      </c>
      <c r="J73" s="27">
        <f t="shared" si="16"/>
        <v>0</v>
      </c>
      <c r="K73" s="27">
        <f t="shared" si="16"/>
        <v>763302</v>
      </c>
    </row>
    <row r="74" spans="1:11" s="1" customFormat="1" ht="13.5" customHeight="1">
      <c r="A74" s="29" t="s">
        <v>48</v>
      </c>
      <c r="B74" s="30" t="s">
        <v>49</v>
      </c>
      <c r="C74" s="31">
        <v>250007</v>
      </c>
      <c r="D74" s="31">
        <v>0</v>
      </c>
      <c r="E74" s="27">
        <f t="shared" si="14"/>
        <v>250007</v>
      </c>
      <c r="F74" s="31">
        <f>500+17105</f>
        <v>17605</v>
      </c>
      <c r="G74" s="31">
        <v>0</v>
      </c>
      <c r="H74" s="27">
        <f t="shared" si="15"/>
        <v>17605</v>
      </c>
      <c r="I74" s="27">
        <f t="shared" si="16"/>
        <v>267612</v>
      </c>
      <c r="J74" s="27">
        <f t="shared" si="16"/>
        <v>0</v>
      </c>
      <c r="K74" s="27">
        <f t="shared" si="16"/>
        <v>267612</v>
      </c>
    </row>
    <row r="75" spans="1:11" s="1" customFormat="1" ht="13.5" customHeight="1">
      <c r="A75" s="29" t="s">
        <v>24</v>
      </c>
      <c r="B75" s="30" t="s">
        <v>25</v>
      </c>
      <c r="C75" s="31">
        <v>112700</v>
      </c>
      <c r="D75" s="31">
        <v>0</v>
      </c>
      <c r="E75" s="27">
        <f t="shared" si="14"/>
        <v>112700</v>
      </c>
      <c r="F75" s="31">
        <v>2000</v>
      </c>
      <c r="G75" s="31">
        <v>0</v>
      </c>
      <c r="H75" s="27">
        <f t="shared" si="15"/>
        <v>2000</v>
      </c>
      <c r="I75" s="27">
        <f t="shared" si="16"/>
        <v>114700</v>
      </c>
      <c r="J75" s="27">
        <f t="shared" si="16"/>
        <v>0</v>
      </c>
      <c r="K75" s="27">
        <f t="shared" si="16"/>
        <v>114700</v>
      </c>
    </row>
    <row r="76" spans="1:11" s="20" customFormat="1" ht="13.5" customHeight="1">
      <c r="A76" s="25" t="s">
        <v>75</v>
      </c>
      <c r="B76" s="20" t="s">
        <v>76</v>
      </c>
      <c r="C76" s="26">
        <v>0</v>
      </c>
      <c r="D76" s="26">
        <v>0</v>
      </c>
      <c r="E76" s="27">
        <f t="shared" si="14"/>
        <v>0</v>
      </c>
      <c r="F76" s="31">
        <f>2500</f>
        <v>2500</v>
      </c>
      <c r="G76" s="31">
        <v>0</v>
      </c>
      <c r="H76" s="27">
        <f t="shared" si="15"/>
        <v>2500</v>
      </c>
      <c r="I76" s="27">
        <f t="shared" si="16"/>
        <v>2500</v>
      </c>
      <c r="J76" s="27">
        <f t="shared" si="16"/>
        <v>0</v>
      </c>
      <c r="K76" s="27">
        <f t="shared" si="16"/>
        <v>2500</v>
      </c>
    </row>
    <row r="77" spans="1:11" s="20" customFormat="1" ht="13.5" customHeight="1">
      <c r="A77" s="25" t="s">
        <v>33</v>
      </c>
      <c r="B77" s="20" t="s">
        <v>34</v>
      </c>
      <c r="C77" s="26">
        <v>300000</v>
      </c>
      <c r="D77" s="26">
        <v>0</v>
      </c>
      <c r="E77" s="27">
        <f t="shared" si="14"/>
        <v>300000</v>
      </c>
      <c r="F77" s="31">
        <f>-250000</f>
        <v>-250000</v>
      </c>
      <c r="G77" s="31">
        <v>0</v>
      </c>
      <c r="H77" s="27">
        <f t="shared" si="15"/>
        <v>-250000</v>
      </c>
      <c r="I77" s="27">
        <f t="shared" si="16"/>
        <v>50000</v>
      </c>
      <c r="J77" s="27">
        <f t="shared" si="16"/>
        <v>0</v>
      </c>
      <c r="K77" s="27">
        <f t="shared" si="16"/>
        <v>50000</v>
      </c>
    </row>
    <row r="78" spans="1:11" s="1" customFormat="1" ht="13.5" customHeight="1">
      <c r="A78" s="36">
        <v>80104</v>
      </c>
      <c r="B78" s="37" t="s">
        <v>77</v>
      </c>
      <c r="C78" s="38">
        <v>8459326</v>
      </c>
      <c r="D78" s="38">
        <v>0</v>
      </c>
      <c r="E78" s="24">
        <f>SUM(C78:D78)</f>
        <v>8459326</v>
      </c>
      <c r="F78" s="38">
        <f>SUM(F79:F79)</f>
        <v>-20000</v>
      </c>
      <c r="G78" s="38">
        <v>0</v>
      </c>
      <c r="H78" s="24">
        <f>F78+G78</f>
        <v>-20000</v>
      </c>
      <c r="I78" s="24">
        <f t="shared" si="16"/>
        <v>8439326</v>
      </c>
      <c r="J78" s="24">
        <f t="shared" si="16"/>
        <v>0</v>
      </c>
      <c r="K78" s="24">
        <f>SUM(E78+H78)</f>
        <v>8439326</v>
      </c>
    </row>
    <row r="79" spans="1:11" s="1" customFormat="1" ht="13.5" customHeight="1">
      <c r="A79" s="29" t="s">
        <v>33</v>
      </c>
      <c r="B79" s="30" t="s">
        <v>34</v>
      </c>
      <c r="C79" s="31">
        <v>50000</v>
      </c>
      <c r="D79" s="31">
        <v>0</v>
      </c>
      <c r="E79" s="27">
        <f>SUM(C79:D79)</f>
        <v>50000</v>
      </c>
      <c r="F79" s="31">
        <f>-20000</f>
        <v>-20000</v>
      </c>
      <c r="G79" s="31">
        <v>0</v>
      </c>
      <c r="H79" s="27">
        <f>F79+G79</f>
        <v>-20000</v>
      </c>
      <c r="I79" s="27">
        <f t="shared" si="16"/>
        <v>30000</v>
      </c>
      <c r="J79" s="27">
        <f t="shared" si="16"/>
        <v>0</v>
      </c>
      <c r="K79" s="27">
        <f>E79+H79</f>
        <v>30000</v>
      </c>
    </row>
    <row r="80" spans="1:11" s="1" customFormat="1" ht="13.5" customHeight="1">
      <c r="A80" s="36">
        <v>80110</v>
      </c>
      <c r="B80" s="37" t="s">
        <v>78</v>
      </c>
      <c r="C80" s="38">
        <v>13373305</v>
      </c>
      <c r="D80" s="38">
        <v>0</v>
      </c>
      <c r="E80" s="24">
        <f>SUM(C80:D80)</f>
        <v>13373305</v>
      </c>
      <c r="F80" s="38">
        <f>SUM(F81:F93)</f>
        <v>28347</v>
      </c>
      <c r="G80" s="38">
        <v>0</v>
      </c>
      <c r="H80" s="24">
        <f>F80+G80</f>
        <v>28347</v>
      </c>
      <c r="I80" s="24">
        <f t="shared" si="16"/>
        <v>13401652</v>
      </c>
      <c r="J80" s="24">
        <f t="shared" si="16"/>
        <v>0</v>
      </c>
      <c r="K80" s="24">
        <f>SUM(E80+H80)</f>
        <v>13401652</v>
      </c>
    </row>
    <row r="81" spans="1:11" s="30" customFormat="1" ht="13.5" customHeight="1">
      <c r="A81" s="29" t="s">
        <v>37</v>
      </c>
      <c r="B81" s="30" t="s">
        <v>53</v>
      </c>
      <c r="C81" s="26">
        <v>7952000</v>
      </c>
      <c r="D81" s="26">
        <v>0</v>
      </c>
      <c r="E81" s="27">
        <f aca="true" t="shared" si="17" ref="E81:E96">SUM(C81:D81)</f>
        <v>7952000</v>
      </c>
      <c r="F81" s="31">
        <f>6959</f>
        <v>6959</v>
      </c>
      <c r="G81" s="31">
        <v>0</v>
      </c>
      <c r="H81" s="27">
        <f aca="true" t="shared" si="18" ref="H81:H96">F81+G81</f>
        <v>6959</v>
      </c>
      <c r="I81" s="27">
        <f t="shared" si="16"/>
        <v>7958959</v>
      </c>
      <c r="J81" s="27">
        <f t="shared" si="16"/>
        <v>0</v>
      </c>
      <c r="K81" s="27">
        <f t="shared" si="16"/>
        <v>7958959</v>
      </c>
    </row>
    <row r="82" spans="1:11" s="30" customFormat="1" ht="13.5" customHeight="1">
      <c r="A82" s="29" t="s">
        <v>69</v>
      </c>
      <c r="B82" s="30" t="s">
        <v>70</v>
      </c>
      <c r="C82" s="26">
        <v>664400</v>
      </c>
      <c r="D82" s="26">
        <v>0</v>
      </c>
      <c r="E82" s="27">
        <f t="shared" si="17"/>
        <v>664400</v>
      </c>
      <c r="F82" s="31">
        <f>-11603-2499-10355-6959-7335</f>
        <v>-38751</v>
      </c>
      <c r="G82" s="31">
        <v>0</v>
      </c>
      <c r="H82" s="27">
        <f t="shared" si="18"/>
        <v>-38751</v>
      </c>
      <c r="I82" s="27">
        <f t="shared" si="16"/>
        <v>625649</v>
      </c>
      <c r="J82" s="27">
        <f t="shared" si="16"/>
        <v>0</v>
      </c>
      <c r="K82" s="27">
        <f t="shared" si="16"/>
        <v>625649</v>
      </c>
    </row>
    <row r="83" spans="1:11" s="1" customFormat="1" ht="13.5" customHeight="1">
      <c r="A83" s="29" t="s">
        <v>39</v>
      </c>
      <c r="B83" s="30" t="s">
        <v>40</v>
      </c>
      <c r="C83" s="31">
        <v>1559600</v>
      </c>
      <c r="D83" s="31">
        <v>0</v>
      </c>
      <c r="E83" s="27">
        <f>SUM(C83:D83)</f>
        <v>1559600</v>
      </c>
      <c r="F83" s="31">
        <f>500</f>
        <v>500</v>
      </c>
      <c r="G83" s="31">
        <v>0</v>
      </c>
      <c r="H83" s="27">
        <f>F83+G83</f>
        <v>500</v>
      </c>
      <c r="I83" s="27">
        <f t="shared" si="16"/>
        <v>1560100</v>
      </c>
      <c r="J83" s="27">
        <f t="shared" si="16"/>
        <v>0</v>
      </c>
      <c r="K83" s="27">
        <f t="shared" si="16"/>
        <v>1560100</v>
      </c>
    </row>
    <row r="84" spans="1:11" s="1" customFormat="1" ht="13.5" customHeight="1">
      <c r="A84" s="29" t="s">
        <v>41</v>
      </c>
      <c r="B84" s="30" t="s">
        <v>42</v>
      </c>
      <c r="C84" s="31">
        <v>208500</v>
      </c>
      <c r="D84" s="31">
        <v>0</v>
      </c>
      <c r="E84" s="27">
        <f>SUM(C84:D84)</f>
        <v>208500</v>
      </c>
      <c r="F84" s="31">
        <f>100</f>
        <v>100</v>
      </c>
      <c r="G84" s="31">
        <v>0</v>
      </c>
      <c r="H84" s="27">
        <f>F84+G84</f>
        <v>100</v>
      </c>
      <c r="I84" s="27">
        <f t="shared" si="16"/>
        <v>208600</v>
      </c>
      <c r="J84" s="27">
        <f t="shared" si="16"/>
        <v>0</v>
      </c>
      <c r="K84" s="27">
        <f t="shared" si="16"/>
        <v>208600</v>
      </c>
    </row>
    <row r="85" spans="1:11" s="1" customFormat="1" ht="13.5" customHeight="1">
      <c r="A85" s="29" t="s">
        <v>79</v>
      </c>
      <c r="B85" s="30" t="s">
        <v>80</v>
      </c>
      <c r="C85" s="31">
        <v>0</v>
      </c>
      <c r="D85" s="31">
        <v>0</v>
      </c>
      <c r="E85" s="27">
        <f>SUM(C85:D85)</f>
        <v>0</v>
      </c>
      <c r="F85" s="31">
        <f>2500</f>
        <v>2500</v>
      </c>
      <c r="G85" s="31">
        <v>0</v>
      </c>
      <c r="H85" s="27">
        <f>F85+G85</f>
        <v>2500</v>
      </c>
      <c r="I85" s="27">
        <f aca="true" t="shared" si="19" ref="I85:K93">C85+F85</f>
        <v>2500</v>
      </c>
      <c r="J85" s="27">
        <f t="shared" si="19"/>
        <v>0</v>
      </c>
      <c r="K85" s="27">
        <f t="shared" si="19"/>
        <v>2500</v>
      </c>
    </row>
    <row r="86" spans="1:11" s="1" customFormat="1" ht="13.5" customHeight="1">
      <c r="A86" s="29" t="s">
        <v>31</v>
      </c>
      <c r="B86" s="30" t="s">
        <v>32</v>
      </c>
      <c r="C86" s="31">
        <v>281000</v>
      </c>
      <c r="D86" s="31">
        <v>0</v>
      </c>
      <c r="E86" s="27">
        <f t="shared" si="17"/>
        <v>281000</v>
      </c>
      <c r="F86" s="31">
        <f>-5000-3100+17035-1000</f>
        <v>7935</v>
      </c>
      <c r="G86" s="31">
        <v>0</v>
      </c>
      <c r="H86" s="27">
        <f t="shared" si="18"/>
        <v>7935</v>
      </c>
      <c r="I86" s="27">
        <f t="shared" si="19"/>
        <v>288935</v>
      </c>
      <c r="J86" s="27">
        <f t="shared" si="19"/>
        <v>0</v>
      </c>
      <c r="K86" s="27">
        <f t="shared" si="19"/>
        <v>288935</v>
      </c>
    </row>
    <row r="87" spans="1:11" s="1" customFormat="1" ht="13.5" customHeight="1">
      <c r="A87" s="29" t="s">
        <v>71</v>
      </c>
      <c r="B87" s="30" t="s">
        <v>72</v>
      </c>
      <c r="C87" s="31">
        <v>15000</v>
      </c>
      <c r="D87" s="31">
        <v>0</v>
      </c>
      <c r="E87" s="27">
        <f>SUM(C87:D87)</f>
        <v>15000</v>
      </c>
      <c r="F87" s="31">
        <v>10000</v>
      </c>
      <c r="G87" s="31">
        <v>0</v>
      </c>
      <c r="H87" s="27">
        <f>F87+G87</f>
        <v>10000</v>
      </c>
      <c r="I87" s="27">
        <f>C87+F87</f>
        <v>25000</v>
      </c>
      <c r="J87" s="27">
        <f>D87+G87</f>
        <v>0</v>
      </c>
      <c r="K87" s="27">
        <f>E87+H87</f>
        <v>25000</v>
      </c>
    </row>
    <row r="88" spans="1:11" s="1" customFormat="1" ht="13.5" customHeight="1">
      <c r="A88" s="29" t="s">
        <v>73</v>
      </c>
      <c r="B88" s="30" t="s">
        <v>74</v>
      </c>
      <c r="C88" s="31">
        <v>696000</v>
      </c>
      <c r="D88" s="31">
        <v>0</v>
      </c>
      <c r="E88" s="27">
        <f t="shared" si="17"/>
        <v>696000</v>
      </c>
      <c r="F88" s="31">
        <f>-4370</f>
        <v>-4370</v>
      </c>
      <c r="G88" s="31">
        <v>0</v>
      </c>
      <c r="H88" s="27">
        <f t="shared" si="18"/>
        <v>-4370</v>
      </c>
      <c r="I88" s="27">
        <f t="shared" si="19"/>
        <v>691630</v>
      </c>
      <c r="J88" s="27">
        <f t="shared" si="19"/>
        <v>0</v>
      </c>
      <c r="K88" s="27">
        <f t="shared" si="19"/>
        <v>691630</v>
      </c>
    </row>
    <row r="89" spans="1:11" s="1" customFormat="1" ht="13.5" customHeight="1">
      <c r="A89" s="29" t="s">
        <v>48</v>
      </c>
      <c r="B89" s="30" t="s">
        <v>49</v>
      </c>
      <c r="C89" s="31">
        <v>229286</v>
      </c>
      <c r="D89" s="31">
        <v>0</v>
      </c>
      <c r="E89" s="27">
        <f t="shared" si="17"/>
        <v>229286</v>
      </c>
      <c r="F89" s="31">
        <v>3335</v>
      </c>
      <c r="G89" s="31">
        <v>0</v>
      </c>
      <c r="H89" s="27">
        <f t="shared" si="18"/>
        <v>3335</v>
      </c>
      <c r="I89" s="27">
        <f t="shared" si="19"/>
        <v>232621</v>
      </c>
      <c r="J89" s="27">
        <f t="shared" si="19"/>
        <v>0</v>
      </c>
      <c r="K89" s="27">
        <f t="shared" si="19"/>
        <v>232621</v>
      </c>
    </row>
    <row r="90" spans="1:11" s="1" customFormat="1" ht="13.5" customHeight="1">
      <c r="A90" s="29" t="s">
        <v>24</v>
      </c>
      <c r="B90" s="30" t="s">
        <v>25</v>
      </c>
      <c r="C90" s="31">
        <v>110419</v>
      </c>
      <c r="D90" s="31">
        <v>0</v>
      </c>
      <c r="E90" s="27">
        <f t="shared" si="17"/>
        <v>110419</v>
      </c>
      <c r="F90" s="31">
        <f>4000-1000+6000</f>
        <v>9000</v>
      </c>
      <c r="G90" s="31">
        <v>0</v>
      </c>
      <c r="H90" s="27">
        <f t="shared" si="18"/>
        <v>9000</v>
      </c>
      <c r="I90" s="27">
        <f t="shared" si="19"/>
        <v>119419</v>
      </c>
      <c r="J90" s="27">
        <f t="shared" si="19"/>
        <v>0</v>
      </c>
      <c r="K90" s="27">
        <f t="shared" si="19"/>
        <v>119419</v>
      </c>
    </row>
    <row r="91" spans="1:11" s="1" customFormat="1" ht="13.5" customHeight="1">
      <c r="A91" s="29" t="s">
        <v>75</v>
      </c>
      <c r="B91" s="20" t="s">
        <v>76</v>
      </c>
      <c r="C91" s="31">
        <v>0</v>
      </c>
      <c r="D91" s="31">
        <v>0</v>
      </c>
      <c r="E91" s="27">
        <f t="shared" si="17"/>
        <v>0</v>
      </c>
      <c r="F91" s="31">
        <f>1000+1000+2020+1000+4000</f>
        <v>9020</v>
      </c>
      <c r="G91" s="31">
        <v>0</v>
      </c>
      <c r="H91" s="27">
        <f t="shared" si="18"/>
        <v>9020</v>
      </c>
      <c r="I91" s="27">
        <f t="shared" si="19"/>
        <v>9020</v>
      </c>
      <c r="J91" s="27">
        <f t="shared" si="19"/>
        <v>0</v>
      </c>
      <c r="K91" s="27">
        <f t="shared" si="19"/>
        <v>9020</v>
      </c>
    </row>
    <row r="92" spans="1:11" s="1" customFormat="1" ht="13.5" customHeight="1">
      <c r="A92" s="29" t="s">
        <v>43</v>
      </c>
      <c r="B92" s="30" t="s">
        <v>44</v>
      </c>
      <c r="C92" s="31">
        <v>604000</v>
      </c>
      <c r="D92" s="31">
        <v>0</v>
      </c>
      <c r="E92" s="27">
        <f t="shared" si="17"/>
        <v>604000</v>
      </c>
      <c r="F92" s="31">
        <v>18700</v>
      </c>
      <c r="G92" s="31">
        <v>0</v>
      </c>
      <c r="H92" s="27">
        <f t="shared" si="18"/>
        <v>18700</v>
      </c>
      <c r="I92" s="27">
        <f t="shared" si="19"/>
        <v>622700</v>
      </c>
      <c r="J92" s="27">
        <f t="shared" si="19"/>
        <v>0</v>
      </c>
      <c r="K92" s="27">
        <f t="shared" si="19"/>
        <v>622700</v>
      </c>
    </row>
    <row r="93" spans="1:11" s="1" customFormat="1" ht="13.5" customHeight="1">
      <c r="A93" s="29" t="s">
        <v>35</v>
      </c>
      <c r="B93" s="30" t="s">
        <v>36</v>
      </c>
      <c r="C93" s="31">
        <v>0</v>
      </c>
      <c r="D93" s="31">
        <v>0</v>
      </c>
      <c r="E93" s="27">
        <f t="shared" si="17"/>
        <v>0</v>
      </c>
      <c r="F93" s="31">
        <f>3419</f>
        <v>3419</v>
      </c>
      <c r="G93" s="31">
        <v>0</v>
      </c>
      <c r="H93" s="27">
        <f t="shared" si="18"/>
        <v>3419</v>
      </c>
      <c r="I93" s="27">
        <f>C93+F93</f>
        <v>3419</v>
      </c>
      <c r="J93" s="27">
        <f>D93+G93</f>
        <v>0</v>
      </c>
      <c r="K93" s="27">
        <f t="shared" si="19"/>
        <v>3419</v>
      </c>
    </row>
    <row r="94" spans="1:11" s="1" customFormat="1" ht="13.5" customHeight="1">
      <c r="A94" s="28">
        <v>80146</v>
      </c>
      <c r="B94" s="19" t="s">
        <v>81</v>
      </c>
      <c r="C94" s="23">
        <v>274943</v>
      </c>
      <c r="D94" s="23">
        <v>0</v>
      </c>
      <c r="E94" s="24">
        <f t="shared" si="17"/>
        <v>274943</v>
      </c>
      <c r="F94" s="23">
        <f>SUM(F95:F95)</f>
        <v>33</v>
      </c>
      <c r="G94" s="23">
        <v>0</v>
      </c>
      <c r="H94" s="24">
        <f t="shared" si="18"/>
        <v>33</v>
      </c>
      <c r="I94" s="24">
        <f aca="true" t="shared" si="20" ref="I94:K95">C94+F94</f>
        <v>274976</v>
      </c>
      <c r="J94" s="24">
        <f t="shared" si="20"/>
        <v>0</v>
      </c>
      <c r="K94" s="24">
        <f t="shared" si="20"/>
        <v>274976</v>
      </c>
    </row>
    <row r="95" spans="1:11" s="1" customFormat="1" ht="13.5" customHeight="1">
      <c r="A95" s="29" t="s">
        <v>69</v>
      </c>
      <c r="B95" s="30" t="s">
        <v>70</v>
      </c>
      <c r="C95" s="31">
        <v>13423</v>
      </c>
      <c r="D95" s="31">
        <v>0</v>
      </c>
      <c r="E95" s="27">
        <f t="shared" si="17"/>
        <v>13423</v>
      </c>
      <c r="F95" s="31">
        <f>-4-39+76</f>
        <v>33</v>
      </c>
      <c r="G95" s="31">
        <v>0</v>
      </c>
      <c r="H95" s="27">
        <f t="shared" si="18"/>
        <v>33</v>
      </c>
      <c r="I95" s="27">
        <f t="shared" si="20"/>
        <v>13456</v>
      </c>
      <c r="J95" s="27">
        <f t="shared" si="20"/>
        <v>0</v>
      </c>
      <c r="K95" s="27">
        <f t="shared" si="20"/>
        <v>13456</v>
      </c>
    </row>
    <row r="96" spans="1:11" s="1" customFormat="1" ht="13.5" customHeight="1">
      <c r="A96" s="3" t="s">
        <v>82</v>
      </c>
      <c r="B96" s="11" t="s">
        <v>83</v>
      </c>
      <c r="C96" s="12">
        <v>932000</v>
      </c>
      <c r="D96" s="12">
        <v>0</v>
      </c>
      <c r="E96" s="6">
        <f t="shared" si="17"/>
        <v>932000</v>
      </c>
      <c r="F96" s="12">
        <f>F99</f>
        <v>47333</v>
      </c>
      <c r="G96" s="12">
        <f>G99</f>
        <v>0</v>
      </c>
      <c r="H96" s="6">
        <f t="shared" si="18"/>
        <v>47333</v>
      </c>
      <c r="I96" s="6">
        <f>C96+F96</f>
        <v>979333</v>
      </c>
      <c r="J96" s="6">
        <f>D96+G96</f>
        <v>0</v>
      </c>
      <c r="K96" s="6">
        <f>E96+H96</f>
        <v>979333</v>
      </c>
    </row>
    <row r="97" spans="1:11" s="1" customFormat="1" ht="13.5" customHeight="1">
      <c r="A97" s="13"/>
      <c r="B97" s="14" t="s">
        <v>13</v>
      </c>
      <c r="C97" s="15"/>
      <c r="D97" s="15"/>
      <c r="E97" s="8"/>
      <c r="F97" s="15"/>
      <c r="G97" s="15"/>
      <c r="H97" s="8"/>
      <c r="I97" s="8"/>
      <c r="J97" s="8"/>
      <c r="K97" s="8"/>
    </row>
    <row r="98" spans="1:11" s="1" customFormat="1" ht="13.5" customHeight="1">
      <c r="A98" s="16"/>
      <c r="B98" s="17" t="s">
        <v>15</v>
      </c>
      <c r="C98" s="18">
        <v>80000</v>
      </c>
      <c r="D98" s="18">
        <v>0</v>
      </c>
      <c r="E98" s="10">
        <f>SUM(C98:D98)</f>
        <v>80000</v>
      </c>
      <c r="F98" s="18">
        <v>0</v>
      </c>
      <c r="G98" s="18">
        <v>0</v>
      </c>
      <c r="H98" s="10">
        <f>F98+G98</f>
        <v>0</v>
      </c>
      <c r="I98" s="10">
        <f>C98+F98</f>
        <v>80000</v>
      </c>
      <c r="J98" s="10">
        <f>D98+G98</f>
        <v>0</v>
      </c>
      <c r="K98" s="10">
        <f>E98+H98</f>
        <v>80000</v>
      </c>
    </row>
    <row r="99" spans="1:11" s="37" customFormat="1" ht="13.5" customHeight="1">
      <c r="A99" s="36">
        <v>85154</v>
      </c>
      <c r="B99" s="37" t="s">
        <v>84</v>
      </c>
      <c r="C99" s="23">
        <v>800000</v>
      </c>
      <c r="D99" s="23">
        <v>0</v>
      </c>
      <c r="E99" s="24">
        <f>SUM(C99:D99)</f>
        <v>800000</v>
      </c>
      <c r="F99" s="38">
        <f>SUM(F100:F100)</f>
        <v>47333</v>
      </c>
      <c r="G99" s="38">
        <f>SUM(G100:G100)</f>
        <v>0</v>
      </c>
      <c r="H99" s="24">
        <f>F99+G99</f>
        <v>47333</v>
      </c>
      <c r="I99" s="24">
        <f aca="true" t="shared" si="21" ref="I99:K101">C99+F99</f>
        <v>847333</v>
      </c>
      <c r="J99" s="24">
        <f t="shared" si="21"/>
        <v>0</v>
      </c>
      <c r="K99" s="24">
        <f t="shared" si="21"/>
        <v>847333</v>
      </c>
    </row>
    <row r="100" spans="1:11" s="30" customFormat="1" ht="13.5" customHeight="1">
      <c r="A100" s="29" t="s">
        <v>24</v>
      </c>
      <c r="B100" s="30" t="s">
        <v>25</v>
      </c>
      <c r="C100" s="26">
        <v>148713</v>
      </c>
      <c r="D100" s="26">
        <v>0</v>
      </c>
      <c r="E100" s="27">
        <f>SUM(C100:D100)</f>
        <v>148713</v>
      </c>
      <c r="F100" s="31">
        <v>47333</v>
      </c>
      <c r="G100" s="31">
        <v>0</v>
      </c>
      <c r="H100" s="27">
        <f>F100+G100</f>
        <v>47333</v>
      </c>
      <c r="I100" s="27">
        <f t="shared" si="21"/>
        <v>196046</v>
      </c>
      <c r="J100" s="27">
        <f t="shared" si="21"/>
        <v>0</v>
      </c>
      <c r="K100" s="27">
        <f t="shared" si="21"/>
        <v>196046</v>
      </c>
    </row>
    <row r="101" spans="1:11" s="1" customFormat="1" ht="13.5" customHeight="1">
      <c r="A101" s="3" t="s">
        <v>85</v>
      </c>
      <c r="B101" s="11" t="s">
        <v>86</v>
      </c>
      <c r="C101" s="12">
        <v>10373445</v>
      </c>
      <c r="D101" s="12">
        <v>17139444</v>
      </c>
      <c r="E101" s="6">
        <f>SUM(C101:D101)</f>
        <v>27512889</v>
      </c>
      <c r="F101" s="12">
        <v>0</v>
      </c>
      <c r="G101" s="12">
        <v>0</v>
      </c>
      <c r="H101" s="6">
        <f>F101+G101</f>
        <v>0</v>
      </c>
      <c r="I101" s="6">
        <f t="shared" si="21"/>
        <v>10373445</v>
      </c>
      <c r="J101" s="6">
        <f t="shared" si="21"/>
        <v>17139444</v>
      </c>
      <c r="K101" s="6">
        <f t="shared" si="21"/>
        <v>27512889</v>
      </c>
    </row>
    <row r="102" spans="1:11" s="1" customFormat="1" ht="13.5" customHeight="1">
      <c r="A102" s="13"/>
      <c r="B102" s="14" t="s">
        <v>13</v>
      </c>
      <c r="C102" s="15"/>
      <c r="D102" s="15"/>
      <c r="E102" s="8"/>
      <c r="F102" s="15"/>
      <c r="G102" s="15"/>
      <c r="H102" s="8"/>
      <c r="I102" s="8"/>
      <c r="J102" s="8"/>
      <c r="K102" s="8"/>
    </row>
    <row r="103" spans="1:11" s="1" customFormat="1" ht="13.5" customHeight="1">
      <c r="A103" s="16"/>
      <c r="B103" s="17" t="s">
        <v>15</v>
      </c>
      <c r="C103" s="18">
        <v>22300</v>
      </c>
      <c r="D103" s="18">
        <v>0</v>
      </c>
      <c r="E103" s="10">
        <f>SUM(C103:D103)</f>
        <v>22300</v>
      </c>
      <c r="F103" s="18">
        <f>F116</f>
        <v>10000</v>
      </c>
      <c r="G103" s="18">
        <v>0</v>
      </c>
      <c r="H103" s="10">
        <f>F103+G103</f>
        <v>10000</v>
      </c>
      <c r="I103" s="10">
        <f aca="true" t="shared" si="22" ref="I103:K116">C103+F103</f>
        <v>32300</v>
      </c>
      <c r="J103" s="10">
        <f t="shared" si="22"/>
        <v>0</v>
      </c>
      <c r="K103" s="10">
        <f t="shared" si="22"/>
        <v>32300</v>
      </c>
    </row>
    <row r="104" spans="1:11" s="37" customFormat="1" ht="13.5" customHeight="1">
      <c r="A104" s="36">
        <v>85203</v>
      </c>
      <c r="B104" s="37" t="s">
        <v>87</v>
      </c>
      <c r="C104" s="23">
        <v>72400</v>
      </c>
      <c r="D104" s="23">
        <v>274401</v>
      </c>
      <c r="E104" s="24">
        <f>SUM(C104:D104)</f>
        <v>346801</v>
      </c>
      <c r="F104" s="38">
        <f>SUM(F105:F107)</f>
        <v>0</v>
      </c>
      <c r="G104" s="38">
        <f>SUM(G105:G107)</f>
        <v>0</v>
      </c>
      <c r="H104" s="24">
        <f>F104+G104</f>
        <v>0</v>
      </c>
      <c r="I104" s="24">
        <f t="shared" si="22"/>
        <v>72400</v>
      </c>
      <c r="J104" s="24">
        <f t="shared" si="22"/>
        <v>274401</v>
      </c>
      <c r="K104" s="24">
        <f t="shared" si="22"/>
        <v>346801</v>
      </c>
    </row>
    <row r="105" spans="1:11" s="1" customFormat="1" ht="13.5" customHeight="1">
      <c r="A105" s="40" t="s">
        <v>88</v>
      </c>
      <c r="B105" s="41" t="s">
        <v>89</v>
      </c>
      <c r="C105" s="42">
        <v>0</v>
      </c>
      <c r="D105" s="42">
        <v>1700</v>
      </c>
      <c r="E105" s="34">
        <f>SUM(C105:D105)</f>
        <v>1700</v>
      </c>
      <c r="F105" s="42">
        <v>0</v>
      </c>
      <c r="G105" s="42">
        <v>-347</v>
      </c>
      <c r="H105" s="34">
        <f>F105+G105</f>
        <v>-347</v>
      </c>
      <c r="I105" s="34">
        <f t="shared" si="22"/>
        <v>0</v>
      </c>
      <c r="J105" s="34">
        <f t="shared" si="22"/>
        <v>1353</v>
      </c>
      <c r="K105" s="34">
        <f t="shared" si="22"/>
        <v>1353</v>
      </c>
    </row>
    <row r="106" spans="1:11" s="1" customFormat="1" ht="13.5" customHeight="1">
      <c r="A106" s="36" t="s">
        <v>43</v>
      </c>
      <c r="B106" s="37" t="s">
        <v>90</v>
      </c>
      <c r="C106" s="38">
        <v>0</v>
      </c>
      <c r="D106" s="38">
        <v>6100</v>
      </c>
      <c r="E106" s="24">
        <f>SUM(C106:D106)</f>
        <v>6100</v>
      </c>
      <c r="F106" s="38">
        <v>0</v>
      </c>
      <c r="G106" s="38">
        <v>316</v>
      </c>
      <c r="H106" s="24">
        <f>F106+G106</f>
        <v>316</v>
      </c>
      <c r="I106" s="24">
        <f t="shared" si="22"/>
        <v>0</v>
      </c>
      <c r="J106" s="24">
        <f t="shared" si="22"/>
        <v>6416</v>
      </c>
      <c r="K106" s="24">
        <f t="shared" si="22"/>
        <v>6416</v>
      </c>
    </row>
    <row r="107" spans="1:11" s="30" customFormat="1" ht="13.5" customHeight="1">
      <c r="A107" s="29" t="s">
        <v>91</v>
      </c>
      <c r="B107" s="30" t="s">
        <v>92</v>
      </c>
      <c r="C107" s="26">
        <v>0</v>
      </c>
      <c r="D107" s="26">
        <v>1250</v>
      </c>
      <c r="E107" s="27">
        <f>SUM(C107:D107)</f>
        <v>1250</v>
      </c>
      <c r="F107" s="31">
        <v>0</v>
      </c>
      <c r="G107" s="31">
        <v>31</v>
      </c>
      <c r="H107" s="27">
        <f>F107+G107</f>
        <v>31</v>
      </c>
      <c r="I107" s="27">
        <f t="shared" si="22"/>
        <v>0</v>
      </c>
      <c r="J107" s="27">
        <f t="shared" si="22"/>
        <v>1281</v>
      </c>
      <c r="K107" s="27">
        <f t="shared" si="22"/>
        <v>1281</v>
      </c>
    </row>
    <row r="108" spans="1:11" s="37" customFormat="1" ht="13.5" customHeight="1">
      <c r="A108" s="36">
        <v>85219</v>
      </c>
      <c r="B108" s="37" t="s">
        <v>93</v>
      </c>
      <c r="C108" s="23">
        <v>1318565</v>
      </c>
      <c r="D108" s="23">
        <v>1173050</v>
      </c>
      <c r="E108" s="24">
        <f aca="true" t="shared" si="23" ref="E108:E115">SUM(C108:D108)</f>
        <v>2491615</v>
      </c>
      <c r="F108" s="38">
        <f>SUM(F109:F116)</f>
        <v>0</v>
      </c>
      <c r="G108" s="38">
        <f>SUM(G112:G115)</f>
        <v>0</v>
      </c>
      <c r="H108" s="24">
        <f aca="true" t="shared" si="24" ref="H108:H115">F108+G108</f>
        <v>0</v>
      </c>
      <c r="I108" s="24">
        <f t="shared" si="22"/>
        <v>1318565</v>
      </c>
      <c r="J108" s="24">
        <f t="shared" si="22"/>
        <v>1173050</v>
      </c>
      <c r="K108" s="24">
        <f t="shared" si="22"/>
        <v>2491615</v>
      </c>
    </row>
    <row r="109" spans="1:11" s="1" customFormat="1" ht="13.5" customHeight="1">
      <c r="A109" s="29" t="s">
        <v>69</v>
      </c>
      <c r="B109" s="30" t="s">
        <v>80</v>
      </c>
      <c r="C109" s="31">
        <v>55000</v>
      </c>
      <c r="D109" s="31">
        <v>70550</v>
      </c>
      <c r="E109" s="27">
        <f t="shared" si="23"/>
        <v>125550</v>
      </c>
      <c r="F109" s="31">
        <v>484</v>
      </c>
      <c r="G109" s="31">
        <v>0</v>
      </c>
      <c r="H109" s="27">
        <f t="shared" si="24"/>
        <v>484</v>
      </c>
      <c r="I109" s="27">
        <f t="shared" si="22"/>
        <v>55484</v>
      </c>
      <c r="J109" s="27">
        <f t="shared" si="22"/>
        <v>70550</v>
      </c>
      <c r="K109" s="27">
        <f t="shared" si="22"/>
        <v>126034</v>
      </c>
    </row>
    <row r="110" spans="1:11" s="1" customFormat="1" ht="13.5" customHeight="1">
      <c r="A110" s="29" t="s">
        <v>39</v>
      </c>
      <c r="B110" s="30" t="s">
        <v>40</v>
      </c>
      <c r="C110" s="31">
        <v>160000</v>
      </c>
      <c r="D110" s="31">
        <v>163200</v>
      </c>
      <c r="E110" s="27">
        <f t="shared" si="23"/>
        <v>323200</v>
      </c>
      <c r="F110" s="31">
        <v>-2200</v>
      </c>
      <c r="G110" s="31">
        <v>0</v>
      </c>
      <c r="H110" s="27">
        <f t="shared" si="24"/>
        <v>-2200</v>
      </c>
      <c r="I110" s="27">
        <f t="shared" si="22"/>
        <v>157800</v>
      </c>
      <c r="J110" s="27">
        <f t="shared" si="22"/>
        <v>163200</v>
      </c>
      <c r="K110" s="27">
        <f t="shared" si="22"/>
        <v>321000</v>
      </c>
    </row>
    <row r="111" spans="1:11" s="1" customFormat="1" ht="13.5" customHeight="1">
      <c r="A111" s="29" t="s">
        <v>31</v>
      </c>
      <c r="B111" s="30" t="s">
        <v>32</v>
      </c>
      <c r="C111" s="31">
        <v>50000</v>
      </c>
      <c r="D111" s="31">
        <v>7750</v>
      </c>
      <c r="E111" s="27">
        <f t="shared" si="23"/>
        <v>57750</v>
      </c>
      <c r="F111" s="31">
        <v>-417</v>
      </c>
      <c r="G111" s="31">
        <v>0</v>
      </c>
      <c r="H111" s="27">
        <f t="shared" si="24"/>
        <v>-417</v>
      </c>
      <c r="I111" s="27">
        <f t="shared" si="22"/>
        <v>49583</v>
      </c>
      <c r="J111" s="27">
        <f t="shared" si="22"/>
        <v>7750</v>
      </c>
      <c r="K111" s="27">
        <f t="shared" si="22"/>
        <v>57333</v>
      </c>
    </row>
    <row r="112" spans="1:11" s="20" customFormat="1" ht="13.5" customHeight="1">
      <c r="A112" s="25" t="s">
        <v>48</v>
      </c>
      <c r="B112" s="20" t="s">
        <v>49</v>
      </c>
      <c r="C112" s="26">
        <v>0</v>
      </c>
      <c r="D112" s="26">
        <v>0</v>
      </c>
      <c r="E112" s="27">
        <f t="shared" si="23"/>
        <v>0</v>
      </c>
      <c r="F112" s="31">
        <v>2500</v>
      </c>
      <c r="G112" s="31">
        <v>0</v>
      </c>
      <c r="H112" s="27">
        <f t="shared" si="24"/>
        <v>2500</v>
      </c>
      <c r="I112" s="27">
        <f t="shared" si="22"/>
        <v>2500</v>
      </c>
      <c r="J112" s="27">
        <f t="shared" si="22"/>
        <v>0</v>
      </c>
      <c r="K112" s="27">
        <f t="shared" si="22"/>
        <v>2500</v>
      </c>
    </row>
    <row r="113" spans="1:11" s="1" customFormat="1" ht="13.5" customHeight="1">
      <c r="A113" s="29" t="s">
        <v>24</v>
      </c>
      <c r="B113" s="30" t="s">
        <v>25</v>
      </c>
      <c r="C113" s="31">
        <v>70000</v>
      </c>
      <c r="D113" s="31">
        <v>8000</v>
      </c>
      <c r="E113" s="27">
        <f t="shared" si="23"/>
        <v>78000</v>
      </c>
      <c r="F113" s="31">
        <v>-1000</v>
      </c>
      <c r="G113" s="31">
        <v>0</v>
      </c>
      <c r="H113" s="27">
        <f t="shared" si="24"/>
        <v>-1000</v>
      </c>
      <c r="I113" s="27">
        <f t="shared" si="22"/>
        <v>69000</v>
      </c>
      <c r="J113" s="27">
        <f t="shared" si="22"/>
        <v>8000</v>
      </c>
      <c r="K113" s="27">
        <f t="shared" si="22"/>
        <v>77000</v>
      </c>
    </row>
    <row r="114" spans="1:11" s="1" customFormat="1" ht="13.5" customHeight="1">
      <c r="A114" s="29" t="s">
        <v>88</v>
      </c>
      <c r="B114" s="30" t="s">
        <v>94</v>
      </c>
      <c r="C114" s="31">
        <v>24744</v>
      </c>
      <c r="D114" s="31">
        <v>1000</v>
      </c>
      <c r="E114" s="27">
        <f t="shared" si="23"/>
        <v>25744</v>
      </c>
      <c r="F114" s="31">
        <v>-9400</v>
      </c>
      <c r="G114" s="31">
        <v>0</v>
      </c>
      <c r="H114" s="27">
        <f t="shared" si="24"/>
        <v>-9400</v>
      </c>
      <c r="I114" s="27">
        <f t="shared" si="22"/>
        <v>15344</v>
      </c>
      <c r="J114" s="27">
        <f t="shared" si="22"/>
        <v>1000</v>
      </c>
      <c r="K114" s="27">
        <f t="shared" si="22"/>
        <v>16344</v>
      </c>
    </row>
    <row r="115" spans="1:11" s="30" customFormat="1" ht="13.5" customHeight="1">
      <c r="A115" s="29" t="s">
        <v>91</v>
      </c>
      <c r="B115" s="30" t="s">
        <v>92</v>
      </c>
      <c r="C115" s="26">
        <v>3600</v>
      </c>
      <c r="D115" s="26">
        <v>0</v>
      </c>
      <c r="E115" s="27">
        <f t="shared" si="23"/>
        <v>3600</v>
      </c>
      <c r="F115" s="31">
        <v>33</v>
      </c>
      <c r="G115" s="31">
        <v>0</v>
      </c>
      <c r="H115" s="27">
        <f t="shared" si="24"/>
        <v>33</v>
      </c>
      <c r="I115" s="27">
        <f t="shared" si="22"/>
        <v>3633</v>
      </c>
      <c r="J115" s="27">
        <f t="shared" si="22"/>
        <v>0</v>
      </c>
      <c r="K115" s="27">
        <f t="shared" si="22"/>
        <v>3633</v>
      </c>
    </row>
    <row r="116" spans="1:11" s="30" customFormat="1" ht="13.5" customHeight="1">
      <c r="A116" s="29" t="s">
        <v>35</v>
      </c>
      <c r="B116" s="30" t="s">
        <v>36</v>
      </c>
      <c r="C116" s="26">
        <v>15300</v>
      </c>
      <c r="D116" s="26">
        <v>0</v>
      </c>
      <c r="E116" s="27">
        <f>SUM(C116:D116)</f>
        <v>15300</v>
      </c>
      <c r="F116" s="31">
        <v>10000</v>
      </c>
      <c r="G116" s="31">
        <v>0</v>
      </c>
      <c r="H116" s="27">
        <f>F116+G116</f>
        <v>10000</v>
      </c>
      <c r="I116" s="27">
        <f>C116+F116</f>
        <v>25300</v>
      </c>
      <c r="J116" s="27">
        <f>D116+G116</f>
        <v>0</v>
      </c>
      <c r="K116" s="27">
        <f t="shared" si="22"/>
        <v>25300</v>
      </c>
    </row>
    <row r="117" spans="1:11" s="1" customFormat="1" ht="13.5" customHeight="1">
      <c r="A117" s="3" t="s">
        <v>95</v>
      </c>
      <c r="B117" s="11" t="s">
        <v>96</v>
      </c>
      <c r="C117" s="12">
        <v>3147986</v>
      </c>
      <c r="D117" s="12">
        <v>480628</v>
      </c>
      <c r="E117" s="6">
        <f>SUM(C117:D117)</f>
        <v>3628614</v>
      </c>
      <c r="F117" s="12">
        <f>F120</f>
        <v>-13999</v>
      </c>
      <c r="G117" s="12">
        <v>0</v>
      </c>
      <c r="H117" s="6">
        <f>F117+G117</f>
        <v>-13999</v>
      </c>
      <c r="I117" s="6">
        <f>C117+F117</f>
        <v>3133987</v>
      </c>
      <c r="J117" s="6">
        <f>D117+G117</f>
        <v>480628</v>
      </c>
      <c r="K117" s="6">
        <f>E117+H117</f>
        <v>3614615</v>
      </c>
    </row>
    <row r="118" spans="1:11" s="1" customFormat="1" ht="11.25" customHeight="1">
      <c r="A118" s="13"/>
      <c r="B118" s="14" t="s">
        <v>13</v>
      </c>
      <c r="C118" s="15"/>
      <c r="D118" s="15"/>
      <c r="E118" s="8"/>
      <c r="F118" s="15"/>
      <c r="G118" s="15"/>
      <c r="H118" s="8"/>
      <c r="I118" s="8"/>
      <c r="J118" s="8"/>
      <c r="K118" s="8"/>
    </row>
    <row r="119" spans="1:11" s="1" customFormat="1" ht="11.25" customHeight="1">
      <c r="A119" s="16"/>
      <c r="B119" s="17" t="s">
        <v>15</v>
      </c>
      <c r="C119" s="18">
        <v>0</v>
      </c>
      <c r="D119" s="18">
        <v>0</v>
      </c>
      <c r="E119" s="10">
        <f aca="true" t="shared" si="25" ref="E119:E126">SUM(C119:D119)</f>
        <v>0</v>
      </c>
      <c r="F119" s="18">
        <v>0</v>
      </c>
      <c r="G119" s="18">
        <v>0</v>
      </c>
      <c r="H119" s="10">
        <f aca="true" t="shared" si="26" ref="H119:H126">F119+G119</f>
        <v>0</v>
      </c>
      <c r="I119" s="10">
        <f aca="true" t="shared" si="27" ref="I119:K126">C119+F119</f>
        <v>0</v>
      </c>
      <c r="J119" s="10">
        <f t="shared" si="27"/>
        <v>0</v>
      </c>
      <c r="K119" s="10">
        <f t="shared" si="27"/>
        <v>0</v>
      </c>
    </row>
    <row r="120" spans="1:11" s="1" customFormat="1" ht="13.5" customHeight="1">
      <c r="A120" s="36">
        <v>85401</v>
      </c>
      <c r="B120" s="37" t="s">
        <v>97</v>
      </c>
      <c r="C120" s="23">
        <v>3032023</v>
      </c>
      <c r="D120" s="23">
        <v>0</v>
      </c>
      <c r="E120" s="24">
        <f t="shared" si="25"/>
        <v>3032023</v>
      </c>
      <c r="F120" s="38">
        <f>SUM(F121:F125)</f>
        <v>-13999</v>
      </c>
      <c r="G120" s="38">
        <v>0</v>
      </c>
      <c r="H120" s="24">
        <f t="shared" si="26"/>
        <v>-13999</v>
      </c>
      <c r="I120" s="24">
        <f t="shared" si="27"/>
        <v>3018024</v>
      </c>
      <c r="J120" s="24">
        <f t="shared" si="27"/>
        <v>0</v>
      </c>
      <c r="K120" s="24">
        <f t="shared" si="27"/>
        <v>3018024</v>
      </c>
    </row>
    <row r="121" spans="1:11" s="1" customFormat="1" ht="13.5" customHeight="1">
      <c r="A121" s="29" t="s">
        <v>37</v>
      </c>
      <c r="B121" s="30" t="s">
        <v>98</v>
      </c>
      <c r="C121" s="26">
        <v>1470460</v>
      </c>
      <c r="D121" s="26">
        <v>0</v>
      </c>
      <c r="E121" s="27">
        <f t="shared" si="25"/>
        <v>1470460</v>
      </c>
      <c r="F121" s="31">
        <v>1640</v>
      </c>
      <c r="G121" s="31">
        <v>0</v>
      </c>
      <c r="H121" s="27">
        <f t="shared" si="26"/>
        <v>1640</v>
      </c>
      <c r="I121" s="27">
        <f t="shared" si="27"/>
        <v>1472100</v>
      </c>
      <c r="J121" s="27">
        <f t="shared" si="27"/>
        <v>0</v>
      </c>
      <c r="K121" s="27">
        <f t="shared" si="27"/>
        <v>1472100</v>
      </c>
    </row>
    <row r="122" spans="1:11" s="1" customFormat="1" ht="13.5" customHeight="1">
      <c r="A122" s="29" t="s">
        <v>69</v>
      </c>
      <c r="B122" s="30" t="s">
        <v>70</v>
      </c>
      <c r="C122" s="26">
        <v>124189</v>
      </c>
      <c r="D122" s="26">
        <v>0</v>
      </c>
      <c r="E122" s="27">
        <f>SUM(C122:D122)</f>
        <v>124189</v>
      </c>
      <c r="F122" s="31">
        <f>-392-591+270-4499-881-2161-1640-86-7017</f>
        <v>-16997</v>
      </c>
      <c r="G122" s="31">
        <v>0</v>
      </c>
      <c r="H122" s="27">
        <f>F122+G122</f>
        <v>-16997</v>
      </c>
      <c r="I122" s="27">
        <f t="shared" si="27"/>
        <v>107192</v>
      </c>
      <c r="J122" s="27">
        <f t="shared" si="27"/>
        <v>0</v>
      </c>
      <c r="K122" s="27">
        <f t="shared" si="27"/>
        <v>107192</v>
      </c>
    </row>
    <row r="123" spans="1:11" s="1" customFormat="1" ht="13.5" customHeight="1">
      <c r="A123" s="29" t="s">
        <v>41</v>
      </c>
      <c r="B123" s="30" t="s">
        <v>42</v>
      </c>
      <c r="C123" s="26">
        <v>40210</v>
      </c>
      <c r="D123" s="26">
        <v>0</v>
      </c>
      <c r="E123" s="27">
        <f>SUM(C123:D123)</f>
        <v>40210</v>
      </c>
      <c r="F123" s="31">
        <v>86</v>
      </c>
      <c r="G123" s="31">
        <v>0</v>
      </c>
      <c r="H123" s="27">
        <f>F123+G123</f>
        <v>86</v>
      </c>
      <c r="I123" s="27">
        <f t="shared" si="27"/>
        <v>40296</v>
      </c>
      <c r="J123" s="27">
        <f t="shared" si="27"/>
        <v>0</v>
      </c>
      <c r="K123" s="27">
        <f t="shared" si="27"/>
        <v>40296</v>
      </c>
    </row>
    <row r="124" spans="1:11" s="1" customFormat="1" ht="13.5" customHeight="1">
      <c r="A124" s="29" t="s">
        <v>48</v>
      </c>
      <c r="B124" s="30" t="s">
        <v>49</v>
      </c>
      <c r="C124" s="26">
        <v>5531</v>
      </c>
      <c r="D124" s="26">
        <v>0</v>
      </c>
      <c r="E124" s="27">
        <f t="shared" si="25"/>
        <v>5531</v>
      </c>
      <c r="F124" s="31">
        <v>-500</v>
      </c>
      <c r="G124" s="31">
        <v>0</v>
      </c>
      <c r="H124" s="27">
        <f t="shared" si="26"/>
        <v>-500</v>
      </c>
      <c r="I124" s="27">
        <f t="shared" si="27"/>
        <v>5031</v>
      </c>
      <c r="J124" s="27">
        <f t="shared" si="27"/>
        <v>0</v>
      </c>
      <c r="K124" s="27">
        <f t="shared" si="27"/>
        <v>5031</v>
      </c>
    </row>
    <row r="125" spans="1:11" s="1" customFormat="1" ht="13.5" customHeight="1">
      <c r="A125" s="29" t="s">
        <v>43</v>
      </c>
      <c r="B125" s="30" t="s">
        <v>44</v>
      </c>
      <c r="C125" s="26">
        <v>64850</v>
      </c>
      <c r="D125" s="26">
        <v>0</v>
      </c>
      <c r="E125" s="27">
        <f t="shared" si="25"/>
        <v>64850</v>
      </c>
      <c r="F125" s="31">
        <f>1772</f>
        <v>1772</v>
      </c>
      <c r="G125" s="31">
        <v>0</v>
      </c>
      <c r="H125" s="27">
        <f t="shared" si="26"/>
        <v>1772</v>
      </c>
      <c r="I125" s="27">
        <f t="shared" si="27"/>
        <v>66622</v>
      </c>
      <c r="J125" s="27">
        <f t="shared" si="27"/>
        <v>0</v>
      </c>
      <c r="K125" s="27">
        <f t="shared" si="27"/>
        <v>66622</v>
      </c>
    </row>
    <row r="126" spans="1:11" s="1" customFormat="1" ht="13.5" customHeight="1">
      <c r="A126" s="3" t="s">
        <v>99</v>
      </c>
      <c r="B126" s="11" t="s">
        <v>100</v>
      </c>
      <c r="C126" s="12">
        <v>12710834</v>
      </c>
      <c r="D126" s="12">
        <v>500000</v>
      </c>
      <c r="E126" s="6">
        <f t="shared" si="25"/>
        <v>13210834</v>
      </c>
      <c r="F126" s="12">
        <f>F129+F132</f>
        <v>-502760</v>
      </c>
      <c r="G126" s="12">
        <v>0</v>
      </c>
      <c r="H126" s="6">
        <f t="shared" si="26"/>
        <v>-502760</v>
      </c>
      <c r="I126" s="6">
        <f t="shared" si="27"/>
        <v>12208074</v>
      </c>
      <c r="J126" s="6">
        <f t="shared" si="27"/>
        <v>500000</v>
      </c>
      <c r="K126" s="6">
        <f t="shared" si="27"/>
        <v>12708074</v>
      </c>
    </row>
    <row r="127" spans="1:11" s="1" customFormat="1" ht="9.75" customHeight="1">
      <c r="A127" s="13"/>
      <c r="B127" s="14" t="s">
        <v>13</v>
      </c>
      <c r="C127" s="15"/>
      <c r="D127" s="15"/>
      <c r="E127" s="8"/>
      <c r="F127" s="15"/>
      <c r="G127" s="15"/>
      <c r="H127" s="8"/>
      <c r="I127" s="8"/>
      <c r="J127" s="8"/>
      <c r="K127" s="8"/>
    </row>
    <row r="128" spans="1:11" s="1" customFormat="1" ht="13.5" customHeight="1">
      <c r="A128" s="16"/>
      <c r="B128" s="17" t="s">
        <v>15</v>
      </c>
      <c r="C128" s="18">
        <v>6461246</v>
      </c>
      <c r="D128" s="18">
        <v>500000</v>
      </c>
      <c r="E128" s="10">
        <f aca="true" t="shared" si="28" ref="E128:E134">SUM(C128:D128)</f>
        <v>6961246</v>
      </c>
      <c r="F128" s="18">
        <f>F131+F133+F134</f>
        <v>-500000</v>
      </c>
      <c r="G128" s="18">
        <v>0</v>
      </c>
      <c r="H128" s="10">
        <f aca="true" t="shared" si="29" ref="H128:H134">F128+G128</f>
        <v>-500000</v>
      </c>
      <c r="I128" s="10">
        <f aca="true" t="shared" si="30" ref="I128:K135">C128+F128</f>
        <v>5961246</v>
      </c>
      <c r="J128" s="10">
        <f t="shared" si="30"/>
        <v>500000</v>
      </c>
      <c r="K128" s="10">
        <f t="shared" si="30"/>
        <v>6461246</v>
      </c>
    </row>
    <row r="129" spans="1:11" s="1" customFormat="1" ht="13.5" customHeight="1">
      <c r="A129" s="36">
        <v>90013</v>
      </c>
      <c r="B129" s="37" t="s">
        <v>101</v>
      </c>
      <c r="C129" s="23">
        <v>255000</v>
      </c>
      <c r="D129" s="23">
        <v>0</v>
      </c>
      <c r="E129" s="24">
        <f t="shared" si="28"/>
        <v>255000</v>
      </c>
      <c r="F129" s="38">
        <f>SUM(F130:F131)</f>
        <v>-52760</v>
      </c>
      <c r="G129" s="38">
        <v>0</v>
      </c>
      <c r="H129" s="24">
        <f t="shared" si="29"/>
        <v>-52760</v>
      </c>
      <c r="I129" s="24">
        <f t="shared" si="30"/>
        <v>202240</v>
      </c>
      <c r="J129" s="24">
        <f t="shared" si="30"/>
        <v>0</v>
      </c>
      <c r="K129" s="24">
        <f t="shared" si="30"/>
        <v>202240</v>
      </c>
    </row>
    <row r="130" spans="1:11" s="1" customFormat="1" ht="13.5" customHeight="1">
      <c r="A130" s="29" t="s">
        <v>24</v>
      </c>
      <c r="B130" s="30" t="s">
        <v>25</v>
      </c>
      <c r="C130" s="26">
        <v>155000</v>
      </c>
      <c r="D130" s="26">
        <v>0</v>
      </c>
      <c r="E130" s="27">
        <f>SUM(C130:D130)</f>
        <v>155000</v>
      </c>
      <c r="F130" s="31">
        <f>-2760</f>
        <v>-2760</v>
      </c>
      <c r="G130" s="31">
        <v>0</v>
      </c>
      <c r="H130" s="27">
        <f>F130+G130</f>
        <v>-2760</v>
      </c>
      <c r="I130" s="27">
        <f t="shared" si="30"/>
        <v>152240</v>
      </c>
      <c r="J130" s="27">
        <f t="shared" si="30"/>
        <v>0</v>
      </c>
      <c r="K130" s="27">
        <f t="shared" si="30"/>
        <v>152240</v>
      </c>
    </row>
    <row r="131" spans="1:11" s="1" customFormat="1" ht="13.5" customHeight="1">
      <c r="A131" s="29" t="s">
        <v>33</v>
      </c>
      <c r="B131" s="30" t="s">
        <v>34</v>
      </c>
      <c r="C131" s="26">
        <v>100000</v>
      </c>
      <c r="D131" s="26">
        <v>0</v>
      </c>
      <c r="E131" s="27">
        <f t="shared" si="28"/>
        <v>100000</v>
      </c>
      <c r="F131" s="31">
        <v>-50000</v>
      </c>
      <c r="G131" s="31">
        <v>0</v>
      </c>
      <c r="H131" s="27">
        <f t="shared" si="29"/>
        <v>-50000</v>
      </c>
      <c r="I131" s="27">
        <f t="shared" si="30"/>
        <v>50000</v>
      </c>
      <c r="J131" s="27">
        <f t="shared" si="30"/>
        <v>0</v>
      </c>
      <c r="K131" s="27">
        <f t="shared" si="30"/>
        <v>50000</v>
      </c>
    </row>
    <row r="132" spans="1:11" s="1" customFormat="1" ht="13.5" customHeight="1">
      <c r="A132" s="36">
        <v>90095</v>
      </c>
      <c r="B132" s="37" t="s">
        <v>23</v>
      </c>
      <c r="C132" s="23">
        <v>7784834</v>
      </c>
      <c r="D132" s="23">
        <v>500000</v>
      </c>
      <c r="E132" s="24">
        <f t="shared" si="28"/>
        <v>8284834</v>
      </c>
      <c r="F132" s="38">
        <f>SUM(F133:F134)</f>
        <v>-450000</v>
      </c>
      <c r="G132" s="38">
        <v>0</v>
      </c>
      <c r="H132" s="24">
        <f t="shared" si="29"/>
        <v>-450000</v>
      </c>
      <c r="I132" s="24">
        <f t="shared" si="30"/>
        <v>7334834</v>
      </c>
      <c r="J132" s="24">
        <f t="shared" si="30"/>
        <v>500000</v>
      </c>
      <c r="K132" s="24">
        <f t="shared" si="30"/>
        <v>7834834</v>
      </c>
    </row>
    <row r="133" spans="1:11" s="1" customFormat="1" ht="13.5" customHeight="1">
      <c r="A133" s="29" t="s">
        <v>33</v>
      </c>
      <c r="B133" s="30" t="s">
        <v>34</v>
      </c>
      <c r="C133" s="26">
        <v>4576246</v>
      </c>
      <c r="D133" s="26">
        <v>0</v>
      </c>
      <c r="E133" s="27">
        <f t="shared" si="28"/>
        <v>4576246</v>
      </c>
      <c r="F133" s="31">
        <f>-100000+150000</f>
        <v>50000</v>
      </c>
      <c r="G133" s="31">
        <v>0</v>
      </c>
      <c r="H133" s="27">
        <f t="shared" si="29"/>
        <v>50000</v>
      </c>
      <c r="I133" s="27">
        <f t="shared" si="30"/>
        <v>4626246</v>
      </c>
      <c r="J133" s="27">
        <f t="shared" si="30"/>
        <v>0</v>
      </c>
      <c r="K133" s="27">
        <f t="shared" si="30"/>
        <v>4626246</v>
      </c>
    </row>
    <row r="134" spans="1:11" s="1" customFormat="1" ht="13.5" customHeight="1">
      <c r="A134" s="29" t="s">
        <v>102</v>
      </c>
      <c r="B134" s="20" t="s">
        <v>103</v>
      </c>
      <c r="C134" s="26">
        <v>1000000</v>
      </c>
      <c r="D134" s="26">
        <v>0</v>
      </c>
      <c r="E134" s="27">
        <f t="shared" si="28"/>
        <v>1000000</v>
      </c>
      <c r="F134" s="31">
        <v>-500000</v>
      </c>
      <c r="G134" s="31">
        <v>0</v>
      </c>
      <c r="H134" s="27">
        <f t="shared" si="29"/>
        <v>-500000</v>
      </c>
      <c r="I134" s="27">
        <f t="shared" si="30"/>
        <v>500000</v>
      </c>
      <c r="J134" s="27">
        <f t="shared" si="30"/>
        <v>0</v>
      </c>
      <c r="K134" s="27">
        <f t="shared" si="30"/>
        <v>500000</v>
      </c>
    </row>
    <row r="135" spans="1:11" s="1" customFormat="1" ht="13.5" customHeight="1">
      <c r="A135" s="3" t="s">
        <v>104</v>
      </c>
      <c r="B135" s="11" t="s">
        <v>105</v>
      </c>
      <c r="C135" s="12">
        <v>1741000</v>
      </c>
      <c r="D135" s="12">
        <v>0</v>
      </c>
      <c r="E135" s="6">
        <f>SUM(C135:D135)</f>
        <v>1741000</v>
      </c>
      <c r="F135" s="12">
        <f>F138+F140+F142</f>
        <v>46120</v>
      </c>
      <c r="G135" s="12">
        <f>G142</f>
        <v>6000</v>
      </c>
      <c r="H135" s="6">
        <f>F135+G135</f>
        <v>52120</v>
      </c>
      <c r="I135" s="6">
        <f t="shared" si="30"/>
        <v>1787120</v>
      </c>
      <c r="J135" s="6">
        <f t="shared" si="30"/>
        <v>6000</v>
      </c>
      <c r="K135" s="6">
        <f t="shared" si="30"/>
        <v>1793120</v>
      </c>
    </row>
    <row r="136" spans="1:11" s="1" customFormat="1" ht="10.5" customHeight="1">
      <c r="A136" s="13"/>
      <c r="B136" s="14" t="s">
        <v>13</v>
      </c>
      <c r="C136" s="15"/>
      <c r="D136" s="15"/>
      <c r="E136" s="8"/>
      <c r="F136" s="15"/>
      <c r="G136" s="15"/>
      <c r="H136" s="8"/>
      <c r="I136" s="8"/>
      <c r="J136" s="8"/>
      <c r="K136" s="8"/>
    </row>
    <row r="137" spans="1:11" s="1" customFormat="1" ht="13.5" customHeight="1">
      <c r="A137" s="16"/>
      <c r="B137" s="17" t="s">
        <v>15</v>
      </c>
      <c r="C137" s="18">
        <v>450000</v>
      </c>
      <c r="D137" s="18">
        <v>0</v>
      </c>
      <c r="E137" s="10">
        <f aca="true" t="shared" si="31" ref="E137:E147">SUM(C137:D137)</f>
        <v>450000</v>
      </c>
      <c r="F137" s="18">
        <v>0</v>
      </c>
      <c r="G137" s="18">
        <v>0</v>
      </c>
      <c r="H137" s="10">
        <f aca="true" t="shared" si="32" ref="H137:H147">F137+G137</f>
        <v>0</v>
      </c>
      <c r="I137" s="10">
        <f aca="true" t="shared" si="33" ref="I137:K147">C137+F137</f>
        <v>450000</v>
      </c>
      <c r="J137" s="10">
        <f t="shared" si="33"/>
        <v>0</v>
      </c>
      <c r="K137" s="10">
        <f t="shared" si="33"/>
        <v>450000</v>
      </c>
    </row>
    <row r="138" spans="1:11" s="1" customFormat="1" ht="13.5" customHeight="1">
      <c r="A138" s="28">
        <v>92105</v>
      </c>
      <c r="B138" s="19" t="s">
        <v>106</v>
      </c>
      <c r="C138" s="23">
        <v>585000</v>
      </c>
      <c r="D138" s="23">
        <v>0</v>
      </c>
      <c r="E138" s="24">
        <f>SUM(C138:D138)</f>
        <v>585000</v>
      </c>
      <c r="F138" s="23">
        <f>SUM(F139:F139)</f>
        <v>-6000</v>
      </c>
      <c r="G138" s="23">
        <v>0</v>
      </c>
      <c r="H138" s="24">
        <f>F138+G138</f>
        <v>-6000</v>
      </c>
      <c r="I138" s="24">
        <f t="shared" si="33"/>
        <v>579000</v>
      </c>
      <c r="J138" s="24">
        <f t="shared" si="33"/>
        <v>0</v>
      </c>
      <c r="K138" s="24">
        <f t="shared" si="33"/>
        <v>579000</v>
      </c>
    </row>
    <row r="139" spans="1:11" s="1" customFormat="1" ht="13.5" customHeight="1">
      <c r="A139" s="25" t="s">
        <v>107</v>
      </c>
      <c r="B139" s="20" t="s">
        <v>139</v>
      </c>
      <c r="C139" s="26">
        <v>135000</v>
      </c>
      <c r="D139" s="26">
        <v>0</v>
      </c>
      <c r="E139" s="27">
        <f>SUM(C139:D139)</f>
        <v>135000</v>
      </c>
      <c r="F139" s="26">
        <v>-6000</v>
      </c>
      <c r="G139" s="26">
        <v>0</v>
      </c>
      <c r="H139" s="27">
        <f>F139+G139</f>
        <v>-6000</v>
      </c>
      <c r="I139" s="27">
        <f t="shared" si="33"/>
        <v>129000</v>
      </c>
      <c r="J139" s="27">
        <f t="shared" si="33"/>
        <v>0</v>
      </c>
      <c r="K139" s="27">
        <f t="shared" si="33"/>
        <v>129000</v>
      </c>
    </row>
    <row r="140" spans="1:11" s="1" customFormat="1" ht="13.5" customHeight="1">
      <c r="A140" s="28">
        <v>92109</v>
      </c>
      <c r="B140" s="19" t="s">
        <v>109</v>
      </c>
      <c r="C140" s="23">
        <v>1006000</v>
      </c>
      <c r="D140" s="23">
        <v>0</v>
      </c>
      <c r="E140" s="24">
        <f>SUM(C140:D140)</f>
        <v>1006000</v>
      </c>
      <c r="F140" s="23">
        <f>SUM(F141:F141)</f>
        <v>20000</v>
      </c>
      <c r="G140" s="23">
        <v>0</v>
      </c>
      <c r="H140" s="24">
        <f>F140+G140</f>
        <v>20000</v>
      </c>
      <c r="I140" s="24">
        <f t="shared" si="33"/>
        <v>1026000</v>
      </c>
      <c r="J140" s="24">
        <f t="shared" si="33"/>
        <v>0</v>
      </c>
      <c r="K140" s="24">
        <f t="shared" si="33"/>
        <v>1026000</v>
      </c>
    </row>
    <row r="141" spans="1:11" s="1" customFormat="1" ht="13.5" customHeight="1">
      <c r="A141" s="32" t="s">
        <v>110</v>
      </c>
      <c r="B141" s="21" t="s">
        <v>108</v>
      </c>
      <c r="C141" s="33">
        <v>1006000</v>
      </c>
      <c r="D141" s="33">
        <v>0</v>
      </c>
      <c r="E141" s="34">
        <f>SUM(C141:D141)</f>
        <v>1006000</v>
      </c>
      <c r="F141" s="33">
        <f>10000+10000</f>
        <v>20000</v>
      </c>
      <c r="G141" s="33">
        <v>0</v>
      </c>
      <c r="H141" s="34">
        <f>F141+G141</f>
        <v>20000</v>
      </c>
      <c r="I141" s="34">
        <f t="shared" si="33"/>
        <v>1026000</v>
      </c>
      <c r="J141" s="34">
        <f t="shared" si="33"/>
        <v>0</v>
      </c>
      <c r="K141" s="34">
        <f t="shared" si="33"/>
        <v>1026000</v>
      </c>
    </row>
    <row r="142" spans="1:11" s="1" customFormat="1" ht="13.5" customHeight="1">
      <c r="A142" s="28">
        <v>92195</v>
      </c>
      <c r="B142" s="19" t="s">
        <v>23</v>
      </c>
      <c r="C142" s="23">
        <v>150000</v>
      </c>
      <c r="D142" s="23">
        <v>0</v>
      </c>
      <c r="E142" s="24">
        <f t="shared" si="31"/>
        <v>150000</v>
      </c>
      <c r="F142" s="23">
        <f>SUM(F143:F146)</f>
        <v>32120</v>
      </c>
      <c r="G142" s="23">
        <f>SUM(G143:G144)</f>
        <v>6000</v>
      </c>
      <c r="H142" s="24">
        <f t="shared" si="32"/>
        <v>38120</v>
      </c>
      <c r="I142" s="24">
        <f t="shared" si="33"/>
        <v>182120</v>
      </c>
      <c r="J142" s="24">
        <f t="shared" si="33"/>
        <v>6000</v>
      </c>
      <c r="K142" s="24">
        <f t="shared" si="33"/>
        <v>188120</v>
      </c>
    </row>
    <row r="143" spans="1:11" s="1" customFormat="1" ht="13.5" customHeight="1">
      <c r="A143" s="25" t="s">
        <v>110</v>
      </c>
      <c r="B143" s="20" t="s">
        <v>108</v>
      </c>
      <c r="C143" s="26">
        <v>0</v>
      </c>
      <c r="D143" s="26">
        <v>0</v>
      </c>
      <c r="E143" s="27">
        <f t="shared" si="31"/>
        <v>0</v>
      </c>
      <c r="F143" s="26">
        <v>0</v>
      </c>
      <c r="G143" s="26">
        <v>6000</v>
      </c>
      <c r="H143" s="27">
        <f t="shared" si="32"/>
        <v>6000</v>
      </c>
      <c r="I143" s="27">
        <f t="shared" si="33"/>
        <v>0</v>
      </c>
      <c r="J143" s="27">
        <f t="shared" si="33"/>
        <v>6000</v>
      </c>
      <c r="K143" s="27">
        <f t="shared" si="33"/>
        <v>6000</v>
      </c>
    </row>
    <row r="144" spans="1:11" s="1" customFormat="1" ht="13.5" customHeight="1">
      <c r="A144" s="25" t="s">
        <v>111</v>
      </c>
      <c r="B144" s="20" t="s">
        <v>112</v>
      </c>
      <c r="C144" s="26">
        <v>10000</v>
      </c>
      <c r="D144" s="26">
        <v>0</v>
      </c>
      <c r="E144" s="27">
        <f t="shared" si="31"/>
        <v>10000</v>
      </c>
      <c r="F144" s="26">
        <f>-2050</f>
        <v>-2050</v>
      </c>
      <c r="G144" s="26">
        <v>0</v>
      </c>
      <c r="H144" s="27">
        <f t="shared" si="32"/>
        <v>-2050</v>
      </c>
      <c r="I144" s="27">
        <f t="shared" si="33"/>
        <v>7950</v>
      </c>
      <c r="J144" s="27">
        <f t="shared" si="33"/>
        <v>0</v>
      </c>
      <c r="K144" s="27">
        <f t="shared" si="33"/>
        <v>7950</v>
      </c>
    </row>
    <row r="145" spans="1:11" s="1" customFormat="1" ht="13.5" customHeight="1">
      <c r="A145" s="25" t="s">
        <v>113</v>
      </c>
      <c r="B145" s="20" t="s">
        <v>114</v>
      </c>
      <c r="C145" s="26">
        <v>9600</v>
      </c>
      <c r="D145" s="26">
        <v>0</v>
      </c>
      <c r="E145" s="27">
        <f t="shared" si="31"/>
        <v>9600</v>
      </c>
      <c r="F145" s="26">
        <f>500+8600</f>
        <v>9100</v>
      </c>
      <c r="G145" s="26">
        <v>0</v>
      </c>
      <c r="H145" s="27">
        <f t="shared" si="32"/>
        <v>9100</v>
      </c>
      <c r="I145" s="27">
        <f t="shared" si="33"/>
        <v>18700</v>
      </c>
      <c r="J145" s="27">
        <f t="shared" si="33"/>
        <v>0</v>
      </c>
      <c r="K145" s="27">
        <f t="shared" si="33"/>
        <v>18700</v>
      </c>
    </row>
    <row r="146" spans="1:11" s="1" customFormat="1" ht="13.5" customHeight="1">
      <c r="A146" s="25" t="s">
        <v>24</v>
      </c>
      <c r="B146" s="20" t="s">
        <v>25</v>
      </c>
      <c r="C146" s="26">
        <v>87000</v>
      </c>
      <c r="D146" s="26">
        <v>0</v>
      </c>
      <c r="E146" s="27">
        <f>SUM(C146:D146)</f>
        <v>87000</v>
      </c>
      <c r="F146" s="26">
        <f>19520-2450+8000</f>
        <v>25070</v>
      </c>
      <c r="G146" s="26">
        <v>0</v>
      </c>
      <c r="H146" s="27">
        <f>F146+G146</f>
        <v>25070</v>
      </c>
      <c r="I146" s="27">
        <f>C146+F146</f>
        <v>112070</v>
      </c>
      <c r="J146" s="27">
        <f>D146+G146</f>
        <v>0</v>
      </c>
      <c r="K146" s="27">
        <f>E146+H146</f>
        <v>112070</v>
      </c>
    </row>
    <row r="147" spans="1:11" s="1" customFormat="1" ht="13.5" customHeight="1">
      <c r="A147" s="3" t="s">
        <v>115</v>
      </c>
      <c r="B147" s="11" t="s">
        <v>116</v>
      </c>
      <c r="C147" s="12">
        <v>4578924</v>
      </c>
      <c r="D147" s="12">
        <v>0</v>
      </c>
      <c r="E147" s="6">
        <f t="shared" si="31"/>
        <v>4578924</v>
      </c>
      <c r="F147" s="12">
        <f>F150+F155+F153</f>
        <v>730840</v>
      </c>
      <c r="G147" s="12">
        <f>G155</f>
        <v>0</v>
      </c>
      <c r="H147" s="6">
        <f t="shared" si="32"/>
        <v>730840</v>
      </c>
      <c r="I147" s="6">
        <f t="shared" si="33"/>
        <v>5309764</v>
      </c>
      <c r="J147" s="6">
        <f t="shared" si="33"/>
        <v>0</v>
      </c>
      <c r="K147" s="6">
        <f t="shared" si="33"/>
        <v>5309764</v>
      </c>
    </row>
    <row r="148" spans="1:11" s="1" customFormat="1" ht="13.5" customHeight="1">
      <c r="A148" s="13"/>
      <c r="B148" s="14" t="s">
        <v>13</v>
      </c>
      <c r="C148" s="15"/>
      <c r="D148" s="15"/>
      <c r="E148" s="8"/>
      <c r="F148" s="15"/>
      <c r="G148" s="15"/>
      <c r="H148" s="8"/>
      <c r="I148" s="8"/>
      <c r="J148" s="8"/>
      <c r="K148" s="8"/>
    </row>
    <row r="149" spans="1:11" s="1" customFormat="1" ht="13.5" customHeight="1">
      <c r="A149" s="16"/>
      <c r="B149" s="17" t="s">
        <v>15</v>
      </c>
      <c r="C149" s="18">
        <v>76500</v>
      </c>
      <c r="D149" s="18">
        <v>0</v>
      </c>
      <c r="E149" s="10">
        <f aca="true" t="shared" si="34" ref="E149:E157">SUM(C149:D149)</f>
        <v>76500</v>
      </c>
      <c r="F149" s="18">
        <f>F152+F157</f>
        <v>138600</v>
      </c>
      <c r="G149" s="18">
        <v>0</v>
      </c>
      <c r="H149" s="10">
        <f aca="true" t="shared" si="35" ref="H149:H157">F149+G149</f>
        <v>138600</v>
      </c>
      <c r="I149" s="10">
        <f aca="true" t="shared" si="36" ref="I149:K157">C149+F149</f>
        <v>215100</v>
      </c>
      <c r="J149" s="10">
        <f t="shared" si="36"/>
        <v>0</v>
      </c>
      <c r="K149" s="10">
        <f t="shared" si="36"/>
        <v>215100</v>
      </c>
    </row>
    <row r="150" spans="1:11" s="1" customFormat="1" ht="13.5" customHeight="1">
      <c r="A150" s="28">
        <v>92604</v>
      </c>
      <c r="B150" s="19" t="s">
        <v>117</v>
      </c>
      <c r="C150" s="23">
        <v>3733924</v>
      </c>
      <c r="D150" s="23">
        <v>0</v>
      </c>
      <c r="E150" s="24">
        <f t="shared" si="34"/>
        <v>3733924</v>
      </c>
      <c r="F150" s="23">
        <f>SUM(F151:F152)</f>
        <v>265840</v>
      </c>
      <c r="G150" s="23">
        <f>SUM(G152:G152)</f>
        <v>0</v>
      </c>
      <c r="H150" s="24">
        <f t="shared" si="35"/>
        <v>265840</v>
      </c>
      <c r="I150" s="24">
        <f t="shared" si="36"/>
        <v>3999764</v>
      </c>
      <c r="J150" s="24">
        <f t="shared" si="36"/>
        <v>0</v>
      </c>
      <c r="K150" s="24">
        <f t="shared" si="36"/>
        <v>3999764</v>
      </c>
    </row>
    <row r="151" spans="1:11" s="1" customFormat="1" ht="13.5" customHeight="1">
      <c r="A151" s="25" t="s">
        <v>48</v>
      </c>
      <c r="B151" s="20" t="s">
        <v>49</v>
      </c>
      <c r="C151" s="26">
        <v>75000</v>
      </c>
      <c r="D151" s="26">
        <v>0</v>
      </c>
      <c r="E151" s="27">
        <f t="shared" si="34"/>
        <v>75000</v>
      </c>
      <c r="F151" s="26">
        <v>227240</v>
      </c>
      <c r="G151" s="26">
        <v>0</v>
      </c>
      <c r="H151" s="27">
        <f t="shared" si="35"/>
        <v>227240</v>
      </c>
      <c r="I151" s="27">
        <f>C151+F151</f>
        <v>302240</v>
      </c>
      <c r="J151" s="27">
        <f>D151+G151</f>
        <v>0</v>
      </c>
      <c r="K151" s="27">
        <f>E151+H151</f>
        <v>302240</v>
      </c>
    </row>
    <row r="152" spans="1:11" s="1" customFormat="1" ht="13.5" customHeight="1">
      <c r="A152" s="25" t="s">
        <v>35</v>
      </c>
      <c r="B152" s="20" t="s">
        <v>36</v>
      </c>
      <c r="C152" s="26">
        <v>51500</v>
      </c>
      <c r="D152" s="26">
        <v>0</v>
      </c>
      <c r="E152" s="27">
        <f t="shared" si="34"/>
        <v>51500</v>
      </c>
      <c r="F152" s="26">
        <v>38600</v>
      </c>
      <c r="G152" s="26">
        <v>0</v>
      </c>
      <c r="H152" s="27">
        <f t="shared" si="35"/>
        <v>38600</v>
      </c>
      <c r="I152" s="27">
        <f t="shared" si="36"/>
        <v>90100</v>
      </c>
      <c r="J152" s="27">
        <f t="shared" si="36"/>
        <v>0</v>
      </c>
      <c r="K152" s="27">
        <f t="shared" si="36"/>
        <v>90100</v>
      </c>
    </row>
    <row r="153" spans="1:11" s="1" customFormat="1" ht="13.5" customHeight="1">
      <c r="A153" s="28">
        <v>92605</v>
      </c>
      <c r="B153" s="19" t="s">
        <v>118</v>
      </c>
      <c r="C153" s="23">
        <v>750000</v>
      </c>
      <c r="D153" s="23">
        <v>0</v>
      </c>
      <c r="E153" s="24">
        <f t="shared" si="34"/>
        <v>750000</v>
      </c>
      <c r="F153" s="23">
        <f>SUM(F154:F154)</f>
        <v>320000</v>
      </c>
      <c r="G153" s="23">
        <f>SUM(G154:G154)</f>
        <v>0</v>
      </c>
      <c r="H153" s="24">
        <f t="shared" si="35"/>
        <v>320000</v>
      </c>
      <c r="I153" s="24">
        <f t="shared" si="36"/>
        <v>1070000</v>
      </c>
      <c r="J153" s="24">
        <f t="shared" si="36"/>
        <v>0</v>
      </c>
      <c r="K153" s="24">
        <f t="shared" si="36"/>
        <v>1070000</v>
      </c>
    </row>
    <row r="154" spans="1:11" s="1" customFormat="1" ht="13.5" customHeight="1">
      <c r="A154" s="25" t="s">
        <v>119</v>
      </c>
      <c r="B154" s="20" t="s">
        <v>120</v>
      </c>
      <c r="C154" s="26">
        <v>188000</v>
      </c>
      <c r="D154" s="26">
        <v>0</v>
      </c>
      <c r="E154" s="27">
        <f t="shared" si="34"/>
        <v>188000</v>
      </c>
      <c r="F154" s="26">
        <v>320000</v>
      </c>
      <c r="G154" s="26">
        <v>0</v>
      </c>
      <c r="H154" s="27">
        <f t="shared" si="35"/>
        <v>320000</v>
      </c>
      <c r="I154" s="27">
        <f t="shared" si="36"/>
        <v>508000</v>
      </c>
      <c r="J154" s="27">
        <f t="shared" si="36"/>
        <v>0</v>
      </c>
      <c r="K154" s="27">
        <f t="shared" si="36"/>
        <v>508000</v>
      </c>
    </row>
    <row r="155" spans="1:11" s="1" customFormat="1" ht="13.5" customHeight="1">
      <c r="A155" s="28">
        <v>92695</v>
      </c>
      <c r="B155" s="19" t="s">
        <v>23</v>
      </c>
      <c r="C155" s="23">
        <v>95000</v>
      </c>
      <c r="D155" s="23">
        <v>0</v>
      </c>
      <c r="E155" s="24">
        <f t="shared" si="34"/>
        <v>95000</v>
      </c>
      <c r="F155" s="23">
        <f>SUM(F156:F158)</f>
        <v>145000</v>
      </c>
      <c r="G155" s="23">
        <f>SUM(G157:G157)</f>
        <v>0</v>
      </c>
      <c r="H155" s="24">
        <f t="shared" si="35"/>
        <v>145000</v>
      </c>
      <c r="I155" s="24">
        <f t="shared" si="36"/>
        <v>240000</v>
      </c>
      <c r="J155" s="24">
        <f t="shared" si="36"/>
        <v>0</v>
      </c>
      <c r="K155" s="24">
        <f t="shared" si="36"/>
        <v>240000</v>
      </c>
    </row>
    <row r="156" spans="1:11" s="1" customFormat="1" ht="13.5" customHeight="1">
      <c r="A156" s="25" t="s">
        <v>113</v>
      </c>
      <c r="B156" s="20" t="s">
        <v>114</v>
      </c>
      <c r="C156" s="26">
        <v>5000</v>
      </c>
      <c r="D156" s="26">
        <v>0</v>
      </c>
      <c r="E156" s="27">
        <f t="shared" si="34"/>
        <v>5000</v>
      </c>
      <c r="F156" s="26">
        <v>45000</v>
      </c>
      <c r="G156" s="26">
        <v>0</v>
      </c>
      <c r="H156" s="27">
        <f t="shared" si="35"/>
        <v>45000</v>
      </c>
      <c r="I156" s="27">
        <f t="shared" si="36"/>
        <v>50000</v>
      </c>
      <c r="J156" s="27">
        <f t="shared" si="36"/>
        <v>0</v>
      </c>
      <c r="K156" s="27">
        <f t="shared" si="36"/>
        <v>50000</v>
      </c>
    </row>
    <row r="157" spans="1:11" s="1" customFormat="1" ht="13.5" customHeight="1">
      <c r="A157" s="32" t="s">
        <v>33</v>
      </c>
      <c r="B157" s="21" t="s">
        <v>34</v>
      </c>
      <c r="C157" s="33">
        <v>0</v>
      </c>
      <c r="D157" s="33">
        <v>0</v>
      </c>
      <c r="E157" s="34">
        <f t="shared" si="34"/>
        <v>0</v>
      </c>
      <c r="F157" s="33">
        <v>100000</v>
      </c>
      <c r="G157" s="33">
        <v>0</v>
      </c>
      <c r="H157" s="34">
        <f t="shared" si="35"/>
        <v>100000</v>
      </c>
      <c r="I157" s="34">
        <f t="shared" si="36"/>
        <v>100000</v>
      </c>
      <c r="J157" s="34">
        <f t="shared" si="36"/>
        <v>0</v>
      </c>
      <c r="K157" s="34">
        <f t="shared" si="36"/>
        <v>100000</v>
      </c>
    </row>
    <row r="158" spans="1:11" s="1" customFormat="1" ht="31.5" customHeight="1">
      <c r="A158" s="49" t="s">
        <v>121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1"/>
    </row>
    <row r="159" spans="1:11" s="1" customFormat="1" ht="13.5" customHeight="1">
      <c r="A159" s="13" t="s">
        <v>122</v>
      </c>
      <c r="B159" s="14" t="s">
        <v>18</v>
      </c>
      <c r="C159" s="15">
        <v>54148822</v>
      </c>
      <c r="D159" s="15">
        <v>10712948</v>
      </c>
      <c r="E159" s="8">
        <f>SUM(C159:D159)</f>
        <v>64861770</v>
      </c>
      <c r="F159" s="12">
        <f>F162+F169+F178+F210+F224+F231</f>
        <v>-313670</v>
      </c>
      <c r="G159" s="12">
        <f>G162+G169+G178+G210+G224+G231</f>
        <v>0</v>
      </c>
      <c r="H159" s="6">
        <f>F159+G159</f>
        <v>-313670</v>
      </c>
      <c r="I159" s="8">
        <f>C159+F159</f>
        <v>53835152</v>
      </c>
      <c r="J159" s="8">
        <f>D159+G159</f>
        <v>10712948</v>
      </c>
      <c r="K159" s="8">
        <f>E159+H159</f>
        <v>64548100</v>
      </c>
    </row>
    <row r="160" spans="1:11" s="1" customFormat="1" ht="15.75" customHeight="1">
      <c r="A160" s="13"/>
      <c r="B160" s="14" t="s">
        <v>19</v>
      </c>
      <c r="C160" s="15"/>
      <c r="D160" s="15"/>
      <c r="E160" s="15"/>
      <c r="F160" s="15"/>
      <c r="G160" s="15"/>
      <c r="H160" s="8"/>
      <c r="I160" s="8"/>
      <c r="J160" s="8"/>
      <c r="K160" s="8"/>
    </row>
    <row r="161" spans="1:11" s="1" customFormat="1" ht="13.5" customHeight="1">
      <c r="A161" s="16"/>
      <c r="B161" s="17" t="s">
        <v>15</v>
      </c>
      <c r="C161" s="18">
        <v>5233000</v>
      </c>
      <c r="D161" s="18">
        <v>1862000</v>
      </c>
      <c r="E161" s="10">
        <f>SUM(C161:D161)</f>
        <v>7095000</v>
      </c>
      <c r="F161" s="18">
        <f>F164+F171+F180+F212+F226+F233</f>
        <v>-652332</v>
      </c>
      <c r="G161" s="18">
        <f>G164+G171+G180+G212+G226+G233</f>
        <v>0</v>
      </c>
      <c r="H161" s="10">
        <f>F161+G161</f>
        <v>-652332</v>
      </c>
      <c r="I161" s="10">
        <f aca="true" t="shared" si="37" ref="I161:K162">C161+F161</f>
        <v>4580668</v>
      </c>
      <c r="J161" s="10">
        <f t="shared" si="37"/>
        <v>1862000</v>
      </c>
      <c r="K161" s="10">
        <f t="shared" si="37"/>
        <v>6442668</v>
      </c>
    </row>
    <row r="162" spans="1:11" s="1" customFormat="1" ht="12" customHeight="1">
      <c r="A162" s="3" t="s">
        <v>26</v>
      </c>
      <c r="B162" s="11" t="s">
        <v>27</v>
      </c>
      <c r="C162" s="12">
        <v>8787211</v>
      </c>
      <c r="D162" s="12">
        <v>1835000</v>
      </c>
      <c r="E162" s="6">
        <f>SUM(C162:D162)</f>
        <v>10622211</v>
      </c>
      <c r="F162" s="12">
        <f>F165</f>
        <v>-608900</v>
      </c>
      <c r="G162" s="12">
        <f>G165</f>
        <v>0</v>
      </c>
      <c r="H162" s="6">
        <f>F162+G162</f>
        <v>-608900</v>
      </c>
      <c r="I162" s="6">
        <f t="shared" si="37"/>
        <v>8178311</v>
      </c>
      <c r="J162" s="6">
        <f t="shared" si="37"/>
        <v>1835000</v>
      </c>
      <c r="K162" s="6">
        <f t="shared" si="37"/>
        <v>10013311</v>
      </c>
    </row>
    <row r="163" spans="1:11" s="1" customFormat="1" ht="13.5" customHeight="1">
      <c r="A163" s="13"/>
      <c r="B163" s="14" t="s">
        <v>13</v>
      </c>
      <c r="C163" s="15"/>
      <c r="D163" s="15"/>
      <c r="E163" s="8"/>
      <c r="F163" s="15"/>
      <c r="G163" s="15"/>
      <c r="H163" s="8"/>
      <c r="I163" s="8"/>
      <c r="J163" s="8"/>
      <c r="K163" s="8"/>
    </row>
    <row r="164" spans="1:11" s="1" customFormat="1" ht="13.5" customHeight="1">
      <c r="A164" s="16"/>
      <c r="B164" s="17" t="s">
        <v>15</v>
      </c>
      <c r="C164" s="18">
        <v>4024000</v>
      </c>
      <c r="D164" s="18">
        <v>1835000</v>
      </c>
      <c r="E164" s="10">
        <f aca="true" t="shared" si="38" ref="E164:E169">SUM(C164:D164)</f>
        <v>5859000</v>
      </c>
      <c r="F164" s="18">
        <f>F168</f>
        <v>-710000</v>
      </c>
      <c r="G164" s="18">
        <v>0</v>
      </c>
      <c r="H164" s="10">
        <f aca="true" t="shared" si="39" ref="H164:H169">F164+G164</f>
        <v>-710000</v>
      </c>
      <c r="I164" s="10">
        <f aca="true" t="shared" si="40" ref="I164:K168">C164+F164</f>
        <v>3314000</v>
      </c>
      <c r="J164" s="10">
        <f t="shared" si="40"/>
        <v>1835000</v>
      </c>
      <c r="K164" s="10">
        <f t="shared" si="40"/>
        <v>5149000</v>
      </c>
    </row>
    <row r="165" spans="1:11" s="1" customFormat="1" ht="13.5" customHeight="1">
      <c r="A165" s="28">
        <v>60015</v>
      </c>
      <c r="B165" s="19" t="s">
        <v>123</v>
      </c>
      <c r="C165" s="23">
        <v>8786211</v>
      </c>
      <c r="D165" s="23">
        <v>1835000</v>
      </c>
      <c r="E165" s="24">
        <f t="shared" si="38"/>
        <v>10621211</v>
      </c>
      <c r="F165" s="23">
        <f>SUM(F166:F168)</f>
        <v>-608900</v>
      </c>
      <c r="G165" s="23">
        <f>SUM(G167:G168)</f>
        <v>0</v>
      </c>
      <c r="H165" s="24">
        <f t="shared" si="39"/>
        <v>-608900</v>
      </c>
      <c r="I165" s="24">
        <f t="shared" si="40"/>
        <v>8177311</v>
      </c>
      <c r="J165" s="24">
        <f t="shared" si="40"/>
        <v>1835000</v>
      </c>
      <c r="K165" s="24">
        <f t="shared" si="40"/>
        <v>10012311</v>
      </c>
    </row>
    <row r="166" spans="1:11" s="1" customFormat="1" ht="13.5" customHeight="1">
      <c r="A166" s="29" t="s">
        <v>29</v>
      </c>
      <c r="B166" s="30" t="s">
        <v>30</v>
      </c>
      <c r="C166" s="31">
        <v>0</v>
      </c>
      <c r="D166" s="31">
        <v>0</v>
      </c>
      <c r="E166" s="27">
        <f t="shared" si="38"/>
        <v>0</v>
      </c>
      <c r="F166" s="31">
        <v>1100</v>
      </c>
      <c r="G166" s="31">
        <v>0</v>
      </c>
      <c r="H166" s="27">
        <f t="shared" si="39"/>
        <v>1100</v>
      </c>
      <c r="I166" s="27">
        <f t="shared" si="40"/>
        <v>1100</v>
      </c>
      <c r="J166" s="27">
        <f t="shared" si="40"/>
        <v>0</v>
      </c>
      <c r="K166" s="27">
        <f t="shared" si="40"/>
        <v>1100</v>
      </c>
    </row>
    <row r="167" spans="1:11" s="1" customFormat="1" ht="13.5" customHeight="1">
      <c r="A167" s="25" t="s">
        <v>48</v>
      </c>
      <c r="B167" s="20" t="s">
        <v>49</v>
      </c>
      <c r="C167" s="26">
        <v>2565611</v>
      </c>
      <c r="D167" s="26">
        <v>0</v>
      </c>
      <c r="E167" s="27">
        <f t="shared" si="38"/>
        <v>2565611</v>
      </c>
      <c r="F167" s="26">
        <v>100000</v>
      </c>
      <c r="G167" s="26">
        <v>0</v>
      </c>
      <c r="H167" s="27">
        <f t="shared" si="39"/>
        <v>100000</v>
      </c>
      <c r="I167" s="27">
        <f t="shared" si="40"/>
        <v>2665611</v>
      </c>
      <c r="J167" s="27">
        <f t="shared" si="40"/>
        <v>0</v>
      </c>
      <c r="K167" s="27">
        <f t="shared" si="40"/>
        <v>2665611</v>
      </c>
    </row>
    <row r="168" spans="1:11" s="1" customFormat="1" ht="13.5" customHeight="1">
      <c r="A168" s="25" t="s">
        <v>33</v>
      </c>
      <c r="B168" s="20" t="s">
        <v>34</v>
      </c>
      <c r="C168" s="26">
        <v>3310000</v>
      </c>
      <c r="D168" s="26">
        <v>0</v>
      </c>
      <c r="E168" s="27">
        <f t="shared" si="38"/>
        <v>3310000</v>
      </c>
      <c r="F168" s="26">
        <f>-560000-150000</f>
        <v>-710000</v>
      </c>
      <c r="G168" s="26">
        <v>0</v>
      </c>
      <c r="H168" s="27">
        <f t="shared" si="39"/>
        <v>-710000</v>
      </c>
      <c r="I168" s="27">
        <f t="shared" si="40"/>
        <v>2600000</v>
      </c>
      <c r="J168" s="27">
        <f t="shared" si="40"/>
        <v>0</v>
      </c>
      <c r="K168" s="27">
        <f t="shared" si="40"/>
        <v>2600000</v>
      </c>
    </row>
    <row r="169" spans="1:11" s="1" customFormat="1" ht="13.5" customHeight="1">
      <c r="A169" s="3" t="s">
        <v>56</v>
      </c>
      <c r="B169" s="11" t="s">
        <v>57</v>
      </c>
      <c r="C169" s="12">
        <v>223400</v>
      </c>
      <c r="D169" s="12">
        <v>4831000</v>
      </c>
      <c r="E169" s="6">
        <f t="shared" si="38"/>
        <v>5054400</v>
      </c>
      <c r="F169" s="12">
        <f>F172+F176</f>
        <v>9000</v>
      </c>
      <c r="G169" s="12">
        <v>0</v>
      </c>
      <c r="H169" s="6">
        <f t="shared" si="39"/>
        <v>9000</v>
      </c>
      <c r="I169" s="6">
        <f>C169+F169</f>
        <v>232400</v>
      </c>
      <c r="J169" s="6">
        <f>D169+G169</f>
        <v>4831000</v>
      </c>
      <c r="K169" s="6">
        <f>E169+H169</f>
        <v>5063400</v>
      </c>
    </row>
    <row r="170" spans="1:11" s="1" customFormat="1" ht="12" customHeight="1">
      <c r="A170" s="13"/>
      <c r="B170" s="14" t="s">
        <v>13</v>
      </c>
      <c r="C170" s="15"/>
      <c r="D170" s="15"/>
      <c r="E170" s="8"/>
      <c r="F170" s="15"/>
      <c r="G170" s="15"/>
      <c r="H170" s="8"/>
      <c r="I170" s="8"/>
      <c r="J170" s="35"/>
      <c r="K170" s="8"/>
    </row>
    <row r="171" spans="1:11" s="1" customFormat="1" ht="13.5" customHeight="1">
      <c r="A171" s="13"/>
      <c r="B171" s="14" t="s">
        <v>15</v>
      </c>
      <c r="C171" s="15">
        <v>20000</v>
      </c>
      <c r="D171" s="15">
        <v>0</v>
      </c>
      <c r="E171" s="8">
        <f aca="true" t="shared" si="41" ref="E171:E178">SUM(C171:D171)</f>
        <v>20000</v>
      </c>
      <c r="F171" s="15">
        <f>F175+F177</f>
        <v>5000</v>
      </c>
      <c r="G171" s="15">
        <v>0</v>
      </c>
      <c r="H171" s="8">
        <f aca="true" t="shared" si="42" ref="H171:H178">F171+G171</f>
        <v>5000</v>
      </c>
      <c r="I171" s="8">
        <f>C171+F171</f>
        <v>25000</v>
      </c>
      <c r="J171" s="8">
        <f>D171+G171</f>
        <v>0</v>
      </c>
      <c r="K171" s="8">
        <f>E171+H171</f>
        <v>25000</v>
      </c>
    </row>
    <row r="172" spans="1:11" s="1" customFormat="1" ht="13.5" customHeight="1">
      <c r="A172" s="36">
        <v>75405</v>
      </c>
      <c r="B172" s="37" t="s">
        <v>124</v>
      </c>
      <c r="C172" s="38">
        <v>100400</v>
      </c>
      <c r="D172" s="38">
        <v>0</v>
      </c>
      <c r="E172" s="24">
        <f t="shared" si="41"/>
        <v>100400</v>
      </c>
      <c r="F172" s="38">
        <f>SUM(F173:F175)</f>
        <v>29000</v>
      </c>
      <c r="G172" s="38">
        <f>G173</f>
        <v>0</v>
      </c>
      <c r="H172" s="24">
        <f t="shared" si="42"/>
        <v>29000</v>
      </c>
      <c r="I172" s="24">
        <f aca="true" t="shared" si="43" ref="I172:J178">C172+F172</f>
        <v>129400</v>
      </c>
      <c r="J172" s="24">
        <f t="shared" si="43"/>
        <v>0</v>
      </c>
      <c r="K172" s="24">
        <f>SUM(E172+H172)</f>
        <v>129400</v>
      </c>
    </row>
    <row r="173" spans="1:11" s="1" customFormat="1" ht="13.5" customHeight="1">
      <c r="A173" s="29" t="s">
        <v>125</v>
      </c>
      <c r="B173" s="30" t="s">
        <v>126</v>
      </c>
      <c r="C173" s="31">
        <v>100400</v>
      </c>
      <c r="D173" s="31">
        <v>0</v>
      </c>
      <c r="E173" s="27">
        <f t="shared" si="41"/>
        <v>100400</v>
      </c>
      <c r="F173" s="31">
        <v>-100400</v>
      </c>
      <c r="G173" s="31">
        <v>0</v>
      </c>
      <c r="H173" s="27">
        <f t="shared" si="42"/>
        <v>-100400</v>
      </c>
      <c r="I173" s="27">
        <f t="shared" si="43"/>
        <v>0</v>
      </c>
      <c r="J173" s="27">
        <f t="shared" si="43"/>
        <v>0</v>
      </c>
      <c r="K173" s="27">
        <f>E173+H173</f>
        <v>0</v>
      </c>
    </row>
    <row r="174" spans="1:11" s="1" customFormat="1" ht="13.5" customHeight="1">
      <c r="A174" s="29" t="s">
        <v>127</v>
      </c>
      <c r="B174" s="30" t="s">
        <v>128</v>
      </c>
      <c r="C174" s="31">
        <v>0</v>
      </c>
      <c r="D174" s="31">
        <v>0</v>
      </c>
      <c r="E174" s="27">
        <f t="shared" si="41"/>
        <v>0</v>
      </c>
      <c r="F174" s="31">
        <f>100400+4000</f>
        <v>104400</v>
      </c>
      <c r="G174" s="31">
        <v>0</v>
      </c>
      <c r="H174" s="27">
        <f t="shared" si="42"/>
        <v>104400</v>
      </c>
      <c r="I174" s="27">
        <f t="shared" si="43"/>
        <v>104400</v>
      </c>
      <c r="J174" s="27">
        <f t="shared" si="43"/>
        <v>0</v>
      </c>
      <c r="K174" s="27">
        <f>E174+H174</f>
        <v>104400</v>
      </c>
    </row>
    <row r="175" spans="1:11" s="1" customFormat="1" ht="13.5" customHeight="1">
      <c r="A175" s="40" t="s">
        <v>129</v>
      </c>
      <c r="B175" s="41" t="s">
        <v>130</v>
      </c>
      <c r="C175" s="42">
        <v>0</v>
      </c>
      <c r="D175" s="42">
        <v>0</v>
      </c>
      <c r="E175" s="34">
        <f t="shared" si="41"/>
        <v>0</v>
      </c>
      <c r="F175" s="42">
        <v>25000</v>
      </c>
      <c r="G175" s="42">
        <v>0</v>
      </c>
      <c r="H175" s="34">
        <f t="shared" si="42"/>
        <v>25000</v>
      </c>
      <c r="I175" s="34">
        <f t="shared" si="43"/>
        <v>25000</v>
      </c>
      <c r="J175" s="34">
        <f t="shared" si="43"/>
        <v>0</v>
      </c>
      <c r="K175" s="34">
        <f>E175+H175</f>
        <v>25000</v>
      </c>
    </row>
    <row r="176" spans="1:11" s="1" customFormat="1" ht="13.5" customHeight="1">
      <c r="A176" s="36">
        <v>75414</v>
      </c>
      <c r="B176" s="37" t="s">
        <v>58</v>
      </c>
      <c r="C176" s="38">
        <v>22000</v>
      </c>
      <c r="D176" s="38">
        <v>0</v>
      </c>
      <c r="E176" s="24">
        <f>SUM(C176:D176)</f>
        <v>22000</v>
      </c>
      <c r="F176" s="38">
        <f>SUM(F177:F177)</f>
        <v>-20000</v>
      </c>
      <c r="G176" s="38">
        <v>0</v>
      </c>
      <c r="H176" s="24">
        <f>F176+G176</f>
        <v>-20000</v>
      </c>
      <c r="I176" s="24">
        <f t="shared" si="43"/>
        <v>2000</v>
      </c>
      <c r="J176" s="24">
        <f t="shared" si="43"/>
        <v>0</v>
      </c>
      <c r="K176" s="24">
        <f>SUM(E176+H176)</f>
        <v>2000</v>
      </c>
    </row>
    <row r="177" spans="1:11" s="1" customFormat="1" ht="13.5" customHeight="1">
      <c r="A177" s="29" t="s">
        <v>35</v>
      </c>
      <c r="B177" s="30" t="s">
        <v>36</v>
      </c>
      <c r="C177" s="31">
        <v>20000</v>
      </c>
      <c r="D177" s="31">
        <v>0</v>
      </c>
      <c r="E177" s="27">
        <f>SUM(C177:D177)</f>
        <v>20000</v>
      </c>
      <c r="F177" s="31">
        <v>-20000</v>
      </c>
      <c r="G177" s="31">
        <v>0</v>
      </c>
      <c r="H177" s="27">
        <f>F177+G177</f>
        <v>-20000</v>
      </c>
      <c r="I177" s="27">
        <f t="shared" si="43"/>
        <v>0</v>
      </c>
      <c r="J177" s="27">
        <f t="shared" si="43"/>
        <v>0</v>
      </c>
      <c r="K177" s="27">
        <f>E177+H177</f>
        <v>0</v>
      </c>
    </row>
    <row r="178" spans="1:11" s="1" customFormat="1" ht="15.75" customHeight="1">
      <c r="A178" s="3" t="s">
        <v>66</v>
      </c>
      <c r="B178" s="11" t="s">
        <v>131</v>
      </c>
      <c r="C178" s="12">
        <v>31087519</v>
      </c>
      <c r="D178" s="12">
        <v>0</v>
      </c>
      <c r="E178" s="6">
        <f t="shared" si="41"/>
        <v>31087519</v>
      </c>
      <c r="F178" s="12">
        <f>F184+F192+F198+F206+F208</f>
        <v>-15190</v>
      </c>
      <c r="G178" s="12">
        <f>G208</f>
        <v>0</v>
      </c>
      <c r="H178" s="6">
        <f t="shared" si="42"/>
        <v>-15190</v>
      </c>
      <c r="I178" s="6">
        <f t="shared" si="43"/>
        <v>31072329</v>
      </c>
      <c r="J178" s="6">
        <f t="shared" si="43"/>
        <v>0</v>
      </c>
      <c r="K178" s="6">
        <f>E178+H178</f>
        <v>31072329</v>
      </c>
    </row>
    <row r="179" spans="1:11" s="1" customFormat="1" ht="11.25" customHeight="1">
      <c r="A179" s="13"/>
      <c r="B179" s="14" t="s">
        <v>13</v>
      </c>
      <c r="C179" s="15"/>
      <c r="D179" s="15"/>
      <c r="E179" s="8"/>
      <c r="F179" s="15"/>
      <c r="G179" s="15"/>
      <c r="H179" s="8"/>
      <c r="I179" s="8"/>
      <c r="J179" s="35"/>
      <c r="K179" s="8"/>
    </row>
    <row r="180" spans="1:11" s="1" customFormat="1" ht="13.5" customHeight="1">
      <c r="A180" s="13"/>
      <c r="B180" s="14" t="s">
        <v>15</v>
      </c>
      <c r="C180" s="15">
        <v>760000</v>
      </c>
      <c r="D180" s="15">
        <v>0</v>
      </c>
      <c r="E180" s="8">
        <f aca="true" t="shared" si="44" ref="E180:E210">SUM(C180:D180)</f>
        <v>760000</v>
      </c>
      <c r="F180" s="15">
        <f>F197</f>
        <v>-47332</v>
      </c>
      <c r="G180" s="15">
        <v>0</v>
      </c>
      <c r="H180" s="8">
        <f aca="true" t="shared" si="45" ref="H180:H210">F180+G180</f>
        <v>-47332</v>
      </c>
      <c r="I180" s="8">
        <f>C180+F180</f>
        <v>712668</v>
      </c>
      <c r="J180" s="8">
        <f>D180+G180</f>
        <v>0</v>
      </c>
      <c r="K180" s="8">
        <f>E180+H180</f>
        <v>712668</v>
      </c>
    </row>
    <row r="181" spans="1:11" s="1" customFormat="1" ht="15" customHeight="1">
      <c r="A181" s="36">
        <v>80102</v>
      </c>
      <c r="B181" s="37" t="s">
        <v>132</v>
      </c>
      <c r="C181" s="38">
        <v>1880000</v>
      </c>
      <c r="D181" s="38">
        <v>0</v>
      </c>
      <c r="E181" s="24">
        <f>SUM(C181:D181)</f>
        <v>1880000</v>
      </c>
      <c r="F181" s="38">
        <f>SUM(F182:F183)</f>
        <v>0</v>
      </c>
      <c r="G181" s="38">
        <v>0</v>
      </c>
      <c r="H181" s="24">
        <f>F181+G181</f>
        <v>0</v>
      </c>
      <c r="I181" s="24">
        <f aca="true" t="shared" si="46" ref="I181:K195">C181+F181</f>
        <v>1880000</v>
      </c>
      <c r="J181" s="24">
        <f t="shared" si="46"/>
        <v>0</v>
      </c>
      <c r="K181" s="24">
        <f>SUM(E181+H181)</f>
        <v>1880000</v>
      </c>
    </row>
    <row r="182" spans="1:11" s="1" customFormat="1" ht="13.5" customHeight="1">
      <c r="A182" s="29" t="s">
        <v>48</v>
      </c>
      <c r="B182" s="30" t="s">
        <v>49</v>
      </c>
      <c r="C182" s="31">
        <v>3000</v>
      </c>
      <c r="D182" s="31">
        <v>0</v>
      </c>
      <c r="E182" s="27">
        <f>SUM(C182:D182)</f>
        <v>3000</v>
      </c>
      <c r="F182" s="31">
        <v>3000</v>
      </c>
      <c r="G182" s="31">
        <v>0</v>
      </c>
      <c r="H182" s="27">
        <f>F182+G182</f>
        <v>3000</v>
      </c>
      <c r="I182" s="27">
        <f t="shared" si="46"/>
        <v>6000</v>
      </c>
      <c r="J182" s="27">
        <f t="shared" si="46"/>
        <v>0</v>
      </c>
      <c r="K182" s="27">
        <f>E182+H182</f>
        <v>6000</v>
      </c>
    </row>
    <row r="183" spans="1:11" s="1" customFormat="1" ht="13.5" customHeight="1">
      <c r="A183" s="29" t="s">
        <v>24</v>
      </c>
      <c r="B183" s="30" t="s">
        <v>25</v>
      </c>
      <c r="C183" s="31">
        <v>13000</v>
      </c>
      <c r="D183" s="31">
        <v>0</v>
      </c>
      <c r="E183" s="27">
        <f>SUM(C183:D183)</f>
        <v>13000</v>
      </c>
      <c r="F183" s="31">
        <v>-3000</v>
      </c>
      <c r="G183" s="31">
        <v>0</v>
      </c>
      <c r="H183" s="27">
        <f>F183+G183</f>
        <v>-3000</v>
      </c>
      <c r="I183" s="27">
        <f t="shared" si="46"/>
        <v>10000</v>
      </c>
      <c r="J183" s="27">
        <f t="shared" si="46"/>
        <v>0</v>
      </c>
      <c r="K183" s="27">
        <f>E183+H183</f>
        <v>10000</v>
      </c>
    </row>
    <row r="184" spans="1:11" s="1" customFormat="1" ht="14.25" customHeight="1">
      <c r="A184" s="36">
        <v>80120</v>
      </c>
      <c r="B184" s="37" t="s">
        <v>133</v>
      </c>
      <c r="C184" s="38">
        <v>11000250</v>
      </c>
      <c r="D184" s="38">
        <v>0</v>
      </c>
      <c r="E184" s="24">
        <f t="shared" si="44"/>
        <v>11000250</v>
      </c>
      <c r="F184" s="38">
        <f>SUM(F185:F191)</f>
        <v>14238</v>
      </c>
      <c r="G184" s="38">
        <v>0</v>
      </c>
      <c r="H184" s="24">
        <f t="shared" si="45"/>
        <v>14238</v>
      </c>
      <c r="I184" s="24">
        <f t="shared" si="46"/>
        <v>11014488</v>
      </c>
      <c r="J184" s="24">
        <f t="shared" si="46"/>
        <v>0</v>
      </c>
      <c r="K184" s="24">
        <f>SUM(E184+H184)</f>
        <v>11014488</v>
      </c>
    </row>
    <row r="185" spans="1:11" s="1" customFormat="1" ht="14.25" customHeight="1">
      <c r="A185" s="29" t="s">
        <v>69</v>
      </c>
      <c r="B185" s="30" t="s">
        <v>70</v>
      </c>
      <c r="C185" s="26">
        <v>544656</v>
      </c>
      <c r="D185" s="26">
        <v>0</v>
      </c>
      <c r="E185" s="27">
        <f t="shared" si="44"/>
        <v>544656</v>
      </c>
      <c r="F185" s="31">
        <f>-3129-762-5850</f>
        <v>-9741</v>
      </c>
      <c r="G185" s="31">
        <v>0</v>
      </c>
      <c r="H185" s="27">
        <f t="shared" si="45"/>
        <v>-9741</v>
      </c>
      <c r="I185" s="27">
        <f t="shared" si="46"/>
        <v>534915</v>
      </c>
      <c r="J185" s="27">
        <f t="shared" si="46"/>
        <v>0</v>
      </c>
      <c r="K185" s="27">
        <f t="shared" si="46"/>
        <v>534915</v>
      </c>
    </row>
    <row r="186" spans="1:11" s="20" customFormat="1" ht="14.25" customHeight="1">
      <c r="A186" s="29" t="s">
        <v>31</v>
      </c>
      <c r="B186" s="30" t="s">
        <v>32</v>
      </c>
      <c r="C186" s="31">
        <v>119576</v>
      </c>
      <c r="D186" s="31">
        <v>0</v>
      </c>
      <c r="E186" s="27">
        <f>SUM(C186:D186)</f>
        <v>119576</v>
      </c>
      <c r="F186" s="31">
        <f>7129+5850</f>
        <v>12979</v>
      </c>
      <c r="G186" s="31">
        <v>0</v>
      </c>
      <c r="H186" s="27">
        <f>F186+G186</f>
        <v>12979</v>
      </c>
      <c r="I186" s="27">
        <f>C186+F186</f>
        <v>132555</v>
      </c>
      <c r="J186" s="27">
        <f>D186+G186</f>
        <v>0</v>
      </c>
      <c r="K186" s="27">
        <f t="shared" si="46"/>
        <v>132555</v>
      </c>
    </row>
    <row r="187" spans="1:11" s="1" customFormat="1" ht="14.25" customHeight="1">
      <c r="A187" s="29" t="s">
        <v>71</v>
      </c>
      <c r="B187" s="30" t="s">
        <v>72</v>
      </c>
      <c r="C187" s="26">
        <v>77624</v>
      </c>
      <c r="D187" s="26">
        <v>0</v>
      </c>
      <c r="E187" s="27">
        <f t="shared" si="44"/>
        <v>77624</v>
      </c>
      <c r="F187" s="31">
        <f>15000-6000</f>
        <v>9000</v>
      </c>
      <c r="G187" s="31">
        <v>0</v>
      </c>
      <c r="H187" s="27">
        <f t="shared" si="45"/>
        <v>9000</v>
      </c>
      <c r="I187" s="27">
        <f t="shared" si="46"/>
        <v>86624</v>
      </c>
      <c r="J187" s="27">
        <f t="shared" si="46"/>
        <v>0</v>
      </c>
      <c r="K187" s="27">
        <f t="shared" si="46"/>
        <v>86624</v>
      </c>
    </row>
    <row r="188" spans="1:11" s="1" customFormat="1" ht="14.25" customHeight="1">
      <c r="A188" s="29" t="s">
        <v>24</v>
      </c>
      <c r="B188" s="30" t="s">
        <v>25</v>
      </c>
      <c r="C188" s="31">
        <v>107668</v>
      </c>
      <c r="D188" s="31">
        <v>0</v>
      </c>
      <c r="E188" s="27">
        <f t="shared" si="44"/>
        <v>107668</v>
      </c>
      <c r="F188" s="31">
        <f>-9500-1000</f>
        <v>-10500</v>
      </c>
      <c r="G188" s="31">
        <v>0</v>
      </c>
      <c r="H188" s="27">
        <f t="shared" si="45"/>
        <v>-10500</v>
      </c>
      <c r="I188" s="27">
        <f t="shared" si="46"/>
        <v>97168</v>
      </c>
      <c r="J188" s="27">
        <f t="shared" si="46"/>
        <v>0</v>
      </c>
      <c r="K188" s="27">
        <f t="shared" si="46"/>
        <v>97168</v>
      </c>
    </row>
    <row r="189" spans="1:11" s="1" customFormat="1" ht="14.25" customHeight="1">
      <c r="A189" s="29" t="s">
        <v>75</v>
      </c>
      <c r="B189" s="20" t="s">
        <v>76</v>
      </c>
      <c r="C189" s="31">
        <v>0</v>
      </c>
      <c r="D189" s="31">
        <v>0</v>
      </c>
      <c r="E189" s="27">
        <f t="shared" si="44"/>
        <v>0</v>
      </c>
      <c r="F189" s="31">
        <v>2500</v>
      </c>
      <c r="G189" s="31">
        <v>0</v>
      </c>
      <c r="H189" s="27">
        <f t="shared" si="45"/>
        <v>2500</v>
      </c>
      <c r="I189" s="27">
        <f t="shared" si="46"/>
        <v>2500</v>
      </c>
      <c r="J189" s="27">
        <f t="shared" si="46"/>
        <v>0</v>
      </c>
      <c r="K189" s="27">
        <f t="shared" si="46"/>
        <v>2500</v>
      </c>
    </row>
    <row r="190" spans="1:11" s="20" customFormat="1" ht="14.25" customHeight="1">
      <c r="A190" s="25" t="s">
        <v>54</v>
      </c>
      <c r="B190" s="20" t="s">
        <v>55</v>
      </c>
      <c r="C190" s="26">
        <v>3600</v>
      </c>
      <c r="D190" s="26">
        <v>0</v>
      </c>
      <c r="E190" s="27">
        <f t="shared" si="44"/>
        <v>3600</v>
      </c>
      <c r="F190" s="26">
        <v>1000</v>
      </c>
      <c r="G190" s="26">
        <v>0</v>
      </c>
      <c r="H190" s="27">
        <f t="shared" si="45"/>
        <v>1000</v>
      </c>
      <c r="I190" s="27">
        <f t="shared" si="46"/>
        <v>4600</v>
      </c>
      <c r="J190" s="27">
        <f t="shared" si="46"/>
        <v>0</v>
      </c>
      <c r="K190" s="27">
        <f t="shared" si="46"/>
        <v>4600</v>
      </c>
    </row>
    <row r="191" spans="1:11" s="1" customFormat="1" ht="14.25" customHeight="1">
      <c r="A191" s="29" t="s">
        <v>43</v>
      </c>
      <c r="B191" s="30" t="s">
        <v>44</v>
      </c>
      <c r="C191" s="31">
        <v>447900</v>
      </c>
      <c r="D191" s="31">
        <v>0</v>
      </c>
      <c r="E191" s="27">
        <f t="shared" si="44"/>
        <v>447900</v>
      </c>
      <c r="F191" s="31">
        <v>9000</v>
      </c>
      <c r="G191" s="31">
        <v>0</v>
      </c>
      <c r="H191" s="27">
        <f t="shared" si="45"/>
        <v>9000</v>
      </c>
      <c r="I191" s="27">
        <f t="shared" si="46"/>
        <v>456900</v>
      </c>
      <c r="J191" s="27">
        <f t="shared" si="46"/>
        <v>0</v>
      </c>
      <c r="K191" s="27">
        <f t="shared" si="46"/>
        <v>456900</v>
      </c>
    </row>
    <row r="192" spans="1:11" s="19" customFormat="1" ht="14.25" customHeight="1">
      <c r="A192" s="36">
        <v>80130</v>
      </c>
      <c r="B192" s="37" t="s">
        <v>134</v>
      </c>
      <c r="C192" s="38">
        <v>14483378</v>
      </c>
      <c r="D192" s="38">
        <v>0</v>
      </c>
      <c r="E192" s="24">
        <f t="shared" si="44"/>
        <v>14483378</v>
      </c>
      <c r="F192" s="38">
        <f>SUM(F193:F197)</f>
        <v>-26376</v>
      </c>
      <c r="G192" s="38">
        <v>0</v>
      </c>
      <c r="H192" s="24">
        <f t="shared" si="45"/>
        <v>-26376</v>
      </c>
      <c r="I192" s="24">
        <f t="shared" si="46"/>
        <v>14457002</v>
      </c>
      <c r="J192" s="24">
        <f t="shared" si="46"/>
        <v>0</v>
      </c>
      <c r="K192" s="24">
        <f>SUM(E192+H192)</f>
        <v>14457002</v>
      </c>
    </row>
    <row r="193" spans="1:11" s="20" customFormat="1" ht="14.25" customHeight="1">
      <c r="A193" s="29" t="s">
        <v>69</v>
      </c>
      <c r="B193" s="30" t="s">
        <v>135</v>
      </c>
      <c r="C193" s="31">
        <v>589973</v>
      </c>
      <c r="D193" s="31">
        <v>0</v>
      </c>
      <c r="E193" s="27">
        <f t="shared" si="44"/>
        <v>589973</v>
      </c>
      <c r="F193" s="31">
        <v>762</v>
      </c>
      <c r="G193" s="31">
        <v>0</v>
      </c>
      <c r="H193" s="27">
        <f t="shared" si="45"/>
        <v>762</v>
      </c>
      <c r="I193" s="27">
        <f t="shared" si="46"/>
        <v>590735</v>
      </c>
      <c r="J193" s="27">
        <f t="shared" si="46"/>
        <v>0</v>
      </c>
      <c r="K193" s="27">
        <f>E193+H193</f>
        <v>590735</v>
      </c>
    </row>
    <row r="194" spans="1:11" s="20" customFormat="1" ht="14.25" customHeight="1">
      <c r="A194" s="29" t="s">
        <v>71</v>
      </c>
      <c r="B194" s="30" t="s">
        <v>72</v>
      </c>
      <c r="C194" s="31">
        <v>74700</v>
      </c>
      <c r="D194" s="31">
        <v>0</v>
      </c>
      <c r="E194" s="27">
        <f t="shared" si="44"/>
        <v>74700</v>
      </c>
      <c r="F194" s="31">
        <f>20000+1194-1000</f>
        <v>20194</v>
      </c>
      <c r="G194" s="31">
        <v>0</v>
      </c>
      <c r="H194" s="27">
        <f t="shared" si="45"/>
        <v>20194</v>
      </c>
      <c r="I194" s="27">
        <f t="shared" si="46"/>
        <v>94894</v>
      </c>
      <c r="J194" s="27">
        <f t="shared" si="46"/>
        <v>0</v>
      </c>
      <c r="K194" s="27">
        <f>E194+H194</f>
        <v>94894</v>
      </c>
    </row>
    <row r="195" spans="1:11" s="43" customFormat="1" ht="14.25" customHeight="1">
      <c r="A195" s="29" t="s">
        <v>24</v>
      </c>
      <c r="B195" s="30" t="s">
        <v>25</v>
      </c>
      <c r="C195" s="26">
        <v>120426</v>
      </c>
      <c r="D195" s="26">
        <v>0</v>
      </c>
      <c r="E195" s="27">
        <f t="shared" si="44"/>
        <v>120426</v>
      </c>
      <c r="F195" s="31">
        <v>-1000</v>
      </c>
      <c r="G195" s="31">
        <v>0</v>
      </c>
      <c r="H195" s="27">
        <f t="shared" si="45"/>
        <v>-1000</v>
      </c>
      <c r="I195" s="27">
        <f t="shared" si="46"/>
        <v>119426</v>
      </c>
      <c r="J195" s="27">
        <f t="shared" si="46"/>
        <v>0</v>
      </c>
      <c r="K195" s="27">
        <f>E195+H195</f>
        <v>119426</v>
      </c>
    </row>
    <row r="196" spans="1:11" s="20" customFormat="1" ht="14.25" customHeight="1">
      <c r="A196" s="25" t="s">
        <v>54</v>
      </c>
      <c r="B196" s="20" t="s">
        <v>55</v>
      </c>
      <c r="C196" s="26">
        <v>6100</v>
      </c>
      <c r="D196" s="26">
        <v>0</v>
      </c>
      <c r="E196" s="27">
        <f>SUM(C196:D196)</f>
        <v>6100</v>
      </c>
      <c r="F196" s="26">
        <v>1000</v>
      </c>
      <c r="G196" s="26">
        <v>0</v>
      </c>
      <c r="H196" s="27">
        <f>F196+G196</f>
        <v>1000</v>
      </c>
      <c r="I196" s="27">
        <f>C196+F196</f>
        <v>7100</v>
      </c>
      <c r="J196" s="27">
        <f>D196+G196</f>
        <v>0</v>
      </c>
      <c r="K196" s="27">
        <f>E196+H196</f>
        <v>7100</v>
      </c>
    </row>
    <row r="197" spans="1:11" s="44" customFormat="1" ht="14.25" customHeight="1">
      <c r="A197" s="40" t="s">
        <v>33</v>
      </c>
      <c r="B197" s="41" t="s">
        <v>34</v>
      </c>
      <c r="C197" s="33">
        <v>760000</v>
      </c>
      <c r="D197" s="33">
        <v>0</v>
      </c>
      <c r="E197" s="34">
        <f t="shared" si="44"/>
        <v>760000</v>
      </c>
      <c r="F197" s="42">
        <f>100000-147332</f>
        <v>-47332</v>
      </c>
      <c r="G197" s="42">
        <v>0</v>
      </c>
      <c r="H197" s="34">
        <f t="shared" si="45"/>
        <v>-47332</v>
      </c>
      <c r="I197" s="34">
        <f>C197+F197</f>
        <v>712668</v>
      </c>
      <c r="J197" s="34">
        <f>D197+G197</f>
        <v>0</v>
      </c>
      <c r="K197" s="34">
        <f>E197+H197</f>
        <v>712668</v>
      </c>
    </row>
    <row r="198" spans="1:11" s="45" customFormat="1" ht="15" customHeight="1">
      <c r="A198" s="28">
        <v>80140</v>
      </c>
      <c r="B198" s="19" t="s">
        <v>136</v>
      </c>
      <c r="C198" s="23">
        <v>991567</v>
      </c>
      <c r="D198" s="23">
        <v>0</v>
      </c>
      <c r="E198" s="24">
        <f t="shared" si="44"/>
        <v>991567</v>
      </c>
      <c r="F198" s="38">
        <f>SUM(F199:F205)</f>
        <v>15948</v>
      </c>
      <c r="G198" s="38">
        <v>0</v>
      </c>
      <c r="H198" s="24">
        <f t="shared" si="45"/>
        <v>15948</v>
      </c>
      <c r="I198" s="24">
        <f aca="true" t="shared" si="47" ref="I198:K210">C198+F198</f>
        <v>1007515</v>
      </c>
      <c r="J198" s="24">
        <f t="shared" si="47"/>
        <v>0</v>
      </c>
      <c r="K198" s="24">
        <f t="shared" si="47"/>
        <v>1007515</v>
      </c>
    </row>
    <row r="199" spans="1:11" s="1" customFormat="1" ht="15" customHeight="1">
      <c r="A199" s="29" t="s">
        <v>37</v>
      </c>
      <c r="B199" s="30" t="s">
        <v>137</v>
      </c>
      <c r="C199" s="26">
        <v>559100</v>
      </c>
      <c r="D199" s="26">
        <v>0</v>
      </c>
      <c r="E199" s="27">
        <f t="shared" si="44"/>
        <v>559100</v>
      </c>
      <c r="F199" s="31">
        <v>2017</v>
      </c>
      <c r="G199" s="31">
        <v>0</v>
      </c>
      <c r="H199" s="27">
        <f t="shared" si="45"/>
        <v>2017</v>
      </c>
      <c r="I199" s="27">
        <f t="shared" si="47"/>
        <v>561117</v>
      </c>
      <c r="J199" s="27">
        <f t="shared" si="47"/>
        <v>0</v>
      </c>
      <c r="K199" s="27">
        <f t="shared" si="47"/>
        <v>561117</v>
      </c>
    </row>
    <row r="200" spans="1:11" s="1" customFormat="1" ht="15" customHeight="1">
      <c r="A200" s="29" t="s">
        <v>69</v>
      </c>
      <c r="B200" s="30" t="s">
        <v>70</v>
      </c>
      <c r="C200" s="26">
        <v>46300</v>
      </c>
      <c r="D200" s="26">
        <v>0</v>
      </c>
      <c r="E200" s="27">
        <f t="shared" si="44"/>
        <v>46300</v>
      </c>
      <c r="F200" s="31">
        <f>-2017</f>
        <v>-2017</v>
      </c>
      <c r="G200" s="31">
        <v>0</v>
      </c>
      <c r="H200" s="27">
        <f t="shared" si="45"/>
        <v>-2017</v>
      </c>
      <c r="I200" s="27">
        <f t="shared" si="47"/>
        <v>44283</v>
      </c>
      <c r="J200" s="27">
        <f t="shared" si="47"/>
        <v>0</v>
      </c>
      <c r="K200" s="27">
        <f t="shared" si="47"/>
        <v>44283</v>
      </c>
    </row>
    <row r="201" spans="1:11" s="20" customFormat="1" ht="15" customHeight="1">
      <c r="A201" s="29" t="s">
        <v>41</v>
      </c>
      <c r="B201" s="30" t="s">
        <v>40</v>
      </c>
      <c r="C201" s="31">
        <v>14700</v>
      </c>
      <c r="D201" s="31">
        <v>0</v>
      </c>
      <c r="E201" s="27">
        <f t="shared" si="44"/>
        <v>14700</v>
      </c>
      <c r="F201" s="31">
        <v>348</v>
      </c>
      <c r="G201" s="31">
        <v>0</v>
      </c>
      <c r="H201" s="27">
        <f t="shared" si="45"/>
        <v>348</v>
      </c>
      <c r="I201" s="27">
        <f t="shared" si="47"/>
        <v>15048</v>
      </c>
      <c r="J201" s="27">
        <f t="shared" si="47"/>
        <v>0</v>
      </c>
      <c r="K201" s="27">
        <f t="shared" si="47"/>
        <v>15048</v>
      </c>
    </row>
    <row r="202" spans="1:11" s="1" customFormat="1" ht="15" customHeight="1">
      <c r="A202" s="29" t="s">
        <v>79</v>
      </c>
      <c r="B202" s="30" t="s">
        <v>80</v>
      </c>
      <c r="C202" s="26">
        <v>0</v>
      </c>
      <c r="D202" s="26">
        <v>0</v>
      </c>
      <c r="E202" s="27">
        <f t="shared" si="44"/>
        <v>0</v>
      </c>
      <c r="F202" s="31">
        <v>7800</v>
      </c>
      <c r="G202" s="31">
        <v>0</v>
      </c>
      <c r="H202" s="27">
        <f t="shared" si="45"/>
        <v>7800</v>
      </c>
      <c r="I202" s="27">
        <f t="shared" si="47"/>
        <v>7800</v>
      </c>
      <c r="J202" s="27">
        <f t="shared" si="47"/>
        <v>0</v>
      </c>
      <c r="K202" s="27">
        <f t="shared" si="47"/>
        <v>7800</v>
      </c>
    </row>
    <row r="203" spans="1:11" s="20" customFormat="1" ht="15" customHeight="1">
      <c r="A203" s="29" t="s">
        <v>31</v>
      </c>
      <c r="B203" s="30" t="s">
        <v>32</v>
      </c>
      <c r="C203" s="31">
        <v>99000</v>
      </c>
      <c r="D203" s="31">
        <v>0</v>
      </c>
      <c r="E203" s="27">
        <f t="shared" si="44"/>
        <v>99000</v>
      </c>
      <c r="F203" s="31">
        <v>4500</v>
      </c>
      <c r="G203" s="31">
        <v>0</v>
      </c>
      <c r="H203" s="27">
        <f t="shared" si="45"/>
        <v>4500</v>
      </c>
      <c r="I203" s="27">
        <f t="shared" si="47"/>
        <v>103500</v>
      </c>
      <c r="J203" s="27">
        <f t="shared" si="47"/>
        <v>0</v>
      </c>
      <c r="K203" s="27">
        <f t="shared" si="47"/>
        <v>103500</v>
      </c>
    </row>
    <row r="204" spans="1:11" s="1" customFormat="1" ht="15" customHeight="1">
      <c r="A204" s="29" t="s">
        <v>73</v>
      </c>
      <c r="B204" s="30" t="s">
        <v>74</v>
      </c>
      <c r="C204" s="31">
        <v>23100</v>
      </c>
      <c r="D204" s="31">
        <v>0</v>
      </c>
      <c r="E204" s="27">
        <f t="shared" si="44"/>
        <v>23100</v>
      </c>
      <c r="F204" s="31">
        <v>1700</v>
      </c>
      <c r="G204" s="31">
        <v>0</v>
      </c>
      <c r="H204" s="27">
        <f t="shared" si="45"/>
        <v>1700</v>
      </c>
      <c r="I204" s="27">
        <f t="shared" si="47"/>
        <v>24800</v>
      </c>
      <c r="J204" s="27">
        <f t="shared" si="47"/>
        <v>0</v>
      </c>
      <c r="K204" s="27">
        <f t="shared" si="47"/>
        <v>24800</v>
      </c>
    </row>
    <row r="205" spans="1:11" s="20" customFormat="1" ht="15" customHeight="1">
      <c r="A205" s="29" t="s">
        <v>24</v>
      </c>
      <c r="B205" s="30" t="s">
        <v>25</v>
      </c>
      <c r="C205" s="31">
        <v>11100</v>
      </c>
      <c r="D205" s="31">
        <v>0</v>
      </c>
      <c r="E205" s="27">
        <f t="shared" si="44"/>
        <v>11100</v>
      </c>
      <c r="F205" s="31">
        <v>1600</v>
      </c>
      <c r="G205" s="31">
        <v>0</v>
      </c>
      <c r="H205" s="27">
        <f t="shared" si="45"/>
        <v>1600</v>
      </c>
      <c r="I205" s="27">
        <f t="shared" si="47"/>
        <v>12700</v>
      </c>
      <c r="J205" s="27">
        <f t="shared" si="47"/>
        <v>0</v>
      </c>
      <c r="K205" s="27">
        <f t="shared" si="47"/>
        <v>12700</v>
      </c>
    </row>
    <row r="206" spans="1:11" s="45" customFormat="1" ht="13.5" customHeight="1">
      <c r="A206" s="28">
        <v>80146</v>
      </c>
      <c r="B206" s="19" t="s">
        <v>81</v>
      </c>
      <c r="C206" s="23">
        <v>202940</v>
      </c>
      <c r="D206" s="23">
        <v>0</v>
      </c>
      <c r="E206" s="24">
        <f t="shared" si="44"/>
        <v>202940</v>
      </c>
      <c r="F206" s="38">
        <f>SUM(F207:F207)</f>
        <v>1000</v>
      </c>
      <c r="G206" s="38">
        <v>0</v>
      </c>
      <c r="H206" s="24">
        <f t="shared" si="45"/>
        <v>1000</v>
      </c>
      <c r="I206" s="24">
        <f t="shared" si="47"/>
        <v>203940</v>
      </c>
      <c r="J206" s="24">
        <f t="shared" si="47"/>
        <v>0</v>
      </c>
      <c r="K206" s="24">
        <f t="shared" si="47"/>
        <v>203940</v>
      </c>
    </row>
    <row r="207" spans="1:11" s="1" customFormat="1" ht="15" customHeight="1">
      <c r="A207" s="29" t="s">
        <v>24</v>
      </c>
      <c r="B207" s="30" t="s">
        <v>25</v>
      </c>
      <c r="C207" s="31">
        <v>64780</v>
      </c>
      <c r="D207" s="31">
        <v>0</v>
      </c>
      <c r="E207" s="27">
        <f t="shared" si="44"/>
        <v>64780</v>
      </c>
      <c r="F207" s="31">
        <v>1000</v>
      </c>
      <c r="G207" s="31">
        <v>0</v>
      </c>
      <c r="H207" s="27">
        <f t="shared" si="45"/>
        <v>1000</v>
      </c>
      <c r="I207" s="27">
        <f t="shared" si="47"/>
        <v>65780</v>
      </c>
      <c r="J207" s="27">
        <f t="shared" si="47"/>
        <v>0</v>
      </c>
      <c r="K207" s="27">
        <f t="shared" si="47"/>
        <v>65780</v>
      </c>
    </row>
    <row r="208" spans="1:11" s="45" customFormat="1" ht="15" customHeight="1">
      <c r="A208" s="28">
        <v>80195</v>
      </c>
      <c r="B208" s="19" t="s">
        <v>23</v>
      </c>
      <c r="C208" s="23">
        <v>170700</v>
      </c>
      <c r="D208" s="23">
        <v>0</v>
      </c>
      <c r="E208" s="24">
        <f t="shared" si="44"/>
        <v>170700</v>
      </c>
      <c r="F208" s="38">
        <f>SUM(F209:F209)</f>
        <v>-20000</v>
      </c>
      <c r="G208" s="38">
        <v>0</v>
      </c>
      <c r="H208" s="24">
        <f t="shared" si="45"/>
        <v>-20000</v>
      </c>
      <c r="I208" s="24">
        <f t="shared" si="47"/>
        <v>150700</v>
      </c>
      <c r="J208" s="24">
        <f t="shared" si="47"/>
        <v>0</v>
      </c>
      <c r="K208" s="24">
        <f>E208+H208</f>
        <v>150700</v>
      </c>
    </row>
    <row r="209" spans="1:11" s="1" customFormat="1" ht="14.25" customHeight="1">
      <c r="A209" s="40" t="s">
        <v>24</v>
      </c>
      <c r="B209" s="41" t="s">
        <v>25</v>
      </c>
      <c r="C209" s="42">
        <v>30000</v>
      </c>
      <c r="D209" s="42">
        <v>0</v>
      </c>
      <c r="E209" s="34">
        <f t="shared" si="44"/>
        <v>30000</v>
      </c>
      <c r="F209" s="42">
        <f>-20000</f>
        <v>-20000</v>
      </c>
      <c r="G209" s="42">
        <v>0</v>
      </c>
      <c r="H209" s="34">
        <f t="shared" si="45"/>
        <v>-20000</v>
      </c>
      <c r="I209" s="34">
        <f t="shared" si="47"/>
        <v>10000</v>
      </c>
      <c r="J209" s="34">
        <f t="shared" si="47"/>
        <v>0</v>
      </c>
      <c r="K209" s="34">
        <f>E209+H209</f>
        <v>10000</v>
      </c>
    </row>
    <row r="210" spans="1:11" s="1" customFormat="1" ht="16.5" customHeight="1">
      <c r="A210" s="3" t="s">
        <v>85</v>
      </c>
      <c r="B210" s="11" t="s">
        <v>86</v>
      </c>
      <c r="C210" s="12">
        <v>7259348</v>
      </c>
      <c r="D210" s="12">
        <v>1839420</v>
      </c>
      <c r="E210" s="6">
        <f t="shared" si="44"/>
        <v>9098768</v>
      </c>
      <c r="F210" s="12">
        <f>F213</f>
        <v>100000</v>
      </c>
      <c r="G210" s="12">
        <f>G213</f>
        <v>0</v>
      </c>
      <c r="H210" s="6">
        <f t="shared" si="45"/>
        <v>100000</v>
      </c>
      <c r="I210" s="6">
        <f t="shared" si="47"/>
        <v>7359348</v>
      </c>
      <c r="J210" s="6">
        <f t="shared" si="47"/>
        <v>1839420</v>
      </c>
      <c r="K210" s="6">
        <f>E210+H210</f>
        <v>9198768</v>
      </c>
    </row>
    <row r="211" spans="1:11" s="1" customFormat="1" ht="13.5" customHeight="1">
      <c r="A211" s="13"/>
      <c r="B211" s="14" t="s">
        <v>13</v>
      </c>
      <c r="C211" s="15"/>
      <c r="D211" s="15"/>
      <c r="E211" s="8"/>
      <c r="F211" s="15"/>
      <c r="G211" s="15"/>
      <c r="H211" s="8"/>
      <c r="I211" s="8"/>
      <c r="J211" s="8"/>
      <c r="K211" s="8"/>
    </row>
    <row r="212" spans="1:11" s="1" customFormat="1" ht="13.5" customHeight="1">
      <c r="A212" s="16"/>
      <c r="B212" s="17" t="s">
        <v>15</v>
      </c>
      <c r="C212" s="18">
        <v>429000</v>
      </c>
      <c r="D212" s="18">
        <v>0</v>
      </c>
      <c r="E212" s="10">
        <f aca="true" t="shared" si="48" ref="E212:E224">SUM(C212:D212)</f>
        <v>429000</v>
      </c>
      <c r="F212" s="18">
        <f>F216</f>
        <v>100000</v>
      </c>
      <c r="G212" s="18">
        <v>0</v>
      </c>
      <c r="H212" s="10">
        <f>F212+G212</f>
        <v>100000</v>
      </c>
      <c r="I212" s="10">
        <f>C212+F212</f>
        <v>529000</v>
      </c>
      <c r="J212" s="10">
        <f>D212+G212</f>
        <v>0</v>
      </c>
      <c r="K212" s="10">
        <f>E212+H212</f>
        <v>529000</v>
      </c>
    </row>
    <row r="213" spans="1:11" s="19" customFormat="1" ht="13.5" customHeight="1">
      <c r="A213" s="36">
        <v>85201</v>
      </c>
      <c r="B213" s="37" t="s">
        <v>138</v>
      </c>
      <c r="C213" s="38">
        <v>3909383</v>
      </c>
      <c r="D213" s="38">
        <v>0</v>
      </c>
      <c r="E213" s="24">
        <f t="shared" si="48"/>
        <v>3909383</v>
      </c>
      <c r="F213" s="38">
        <f>SUM(F214:F216)</f>
        <v>100000</v>
      </c>
      <c r="G213" s="38">
        <v>0</v>
      </c>
      <c r="H213" s="24">
        <f>F213+G213</f>
        <v>100000</v>
      </c>
      <c r="I213" s="24">
        <f aca="true" t="shared" si="49" ref="I213:J215">C213+F213</f>
        <v>4009383</v>
      </c>
      <c r="J213" s="24">
        <f t="shared" si="49"/>
        <v>0</v>
      </c>
      <c r="K213" s="24">
        <f>SUM(E213+H213)</f>
        <v>4009383</v>
      </c>
    </row>
    <row r="214" spans="1:11" s="1" customFormat="1" ht="13.5" customHeight="1">
      <c r="A214" s="29" t="s">
        <v>107</v>
      </c>
      <c r="B214" s="30" t="s">
        <v>139</v>
      </c>
      <c r="C214" s="26">
        <v>165000</v>
      </c>
      <c r="D214" s="26">
        <v>0</v>
      </c>
      <c r="E214" s="27">
        <f t="shared" si="48"/>
        <v>165000</v>
      </c>
      <c r="F214" s="31">
        <v>108000</v>
      </c>
      <c r="G214" s="31">
        <v>0</v>
      </c>
      <c r="H214" s="27">
        <f>F214+G214</f>
        <v>108000</v>
      </c>
      <c r="I214" s="27">
        <f t="shared" si="49"/>
        <v>273000</v>
      </c>
      <c r="J214" s="27">
        <f t="shared" si="49"/>
        <v>0</v>
      </c>
      <c r="K214" s="27">
        <f>E214+H214</f>
        <v>273000</v>
      </c>
    </row>
    <row r="215" spans="1:11" s="1" customFormat="1" ht="13.5" customHeight="1">
      <c r="A215" s="29" t="s">
        <v>24</v>
      </c>
      <c r="B215" s="30" t="s">
        <v>25</v>
      </c>
      <c r="C215" s="26">
        <v>1090220</v>
      </c>
      <c r="D215" s="26">
        <v>0</v>
      </c>
      <c r="E215" s="27">
        <f t="shared" si="48"/>
        <v>1090220</v>
      </c>
      <c r="F215" s="31">
        <v>-108000</v>
      </c>
      <c r="G215" s="31">
        <v>0</v>
      </c>
      <c r="H215" s="27">
        <f>F215+G215</f>
        <v>-108000</v>
      </c>
      <c r="I215" s="27">
        <f t="shared" si="49"/>
        <v>982220</v>
      </c>
      <c r="J215" s="27">
        <f t="shared" si="49"/>
        <v>0</v>
      </c>
      <c r="K215" s="27">
        <f>E215+H215</f>
        <v>982220</v>
      </c>
    </row>
    <row r="216" spans="1:11" s="1" customFormat="1" ht="13.5" customHeight="1">
      <c r="A216" s="29" t="s">
        <v>33</v>
      </c>
      <c r="B216" s="30" t="s">
        <v>34</v>
      </c>
      <c r="C216" s="26">
        <v>100000</v>
      </c>
      <c r="D216" s="26">
        <v>0</v>
      </c>
      <c r="E216" s="27">
        <f>SUM(C216:D216)</f>
        <v>100000</v>
      </c>
      <c r="F216" s="31">
        <v>100000</v>
      </c>
      <c r="G216" s="31">
        <v>0</v>
      </c>
      <c r="H216" s="27">
        <f>F216+G216</f>
        <v>100000</v>
      </c>
      <c r="I216" s="27">
        <f>C216+F216</f>
        <v>200000</v>
      </c>
      <c r="J216" s="27">
        <f>D216+G216</f>
        <v>0</v>
      </c>
      <c r="K216" s="27">
        <f>E216+H216</f>
        <v>200000</v>
      </c>
    </row>
    <row r="217" spans="1:11" s="37" customFormat="1" ht="13.5" customHeight="1">
      <c r="A217" s="36">
        <v>85203</v>
      </c>
      <c r="B217" s="37" t="s">
        <v>87</v>
      </c>
      <c r="C217" s="23">
        <v>20000</v>
      </c>
      <c r="D217" s="23">
        <v>0</v>
      </c>
      <c r="E217" s="24">
        <f t="shared" si="48"/>
        <v>20000</v>
      </c>
      <c r="F217" s="38">
        <f>SUM(F218:F223)</f>
        <v>0</v>
      </c>
      <c r="G217" s="38">
        <f>SUM(G221:G223)</f>
        <v>0</v>
      </c>
      <c r="H217" s="24">
        <f aca="true" t="shared" si="50" ref="H217:H223">F217+G217</f>
        <v>0</v>
      </c>
      <c r="I217" s="24">
        <f aca="true" t="shared" si="51" ref="I217:K223">C217+F217</f>
        <v>20000</v>
      </c>
      <c r="J217" s="24">
        <f t="shared" si="51"/>
        <v>0</v>
      </c>
      <c r="K217" s="24">
        <f>E217+H217</f>
        <v>20000</v>
      </c>
    </row>
    <row r="218" spans="1:11" s="1" customFormat="1" ht="13.5" customHeight="1">
      <c r="A218" s="29" t="s">
        <v>37</v>
      </c>
      <c r="B218" s="30" t="s">
        <v>80</v>
      </c>
      <c r="C218" s="31">
        <v>14200</v>
      </c>
      <c r="D218" s="31">
        <v>0</v>
      </c>
      <c r="E218" s="27">
        <f t="shared" si="48"/>
        <v>14200</v>
      </c>
      <c r="F218" s="31">
        <v>-471</v>
      </c>
      <c r="G218" s="31">
        <v>0</v>
      </c>
      <c r="H218" s="27">
        <f t="shared" si="50"/>
        <v>-471</v>
      </c>
      <c r="I218" s="27">
        <f t="shared" si="51"/>
        <v>13729</v>
      </c>
      <c r="J218" s="27">
        <f t="shared" si="51"/>
        <v>0</v>
      </c>
      <c r="K218" s="27">
        <f t="shared" si="51"/>
        <v>13729</v>
      </c>
    </row>
    <row r="219" spans="1:11" s="1" customFormat="1" ht="13.5" customHeight="1">
      <c r="A219" s="29" t="s">
        <v>39</v>
      </c>
      <c r="B219" s="30" t="s">
        <v>40</v>
      </c>
      <c r="C219" s="31">
        <v>2743</v>
      </c>
      <c r="D219" s="31">
        <v>0</v>
      </c>
      <c r="E219" s="27">
        <f t="shared" si="48"/>
        <v>2743</v>
      </c>
      <c r="F219" s="31">
        <v>-728</v>
      </c>
      <c r="G219" s="31">
        <v>0</v>
      </c>
      <c r="H219" s="27">
        <f t="shared" si="50"/>
        <v>-728</v>
      </c>
      <c r="I219" s="27">
        <f t="shared" si="51"/>
        <v>2015</v>
      </c>
      <c r="J219" s="27">
        <f t="shared" si="51"/>
        <v>0</v>
      </c>
      <c r="K219" s="27">
        <f t="shared" si="51"/>
        <v>2015</v>
      </c>
    </row>
    <row r="220" spans="1:11" s="1" customFormat="1" ht="13.5" customHeight="1">
      <c r="A220" s="29" t="s">
        <v>41</v>
      </c>
      <c r="B220" s="30" t="s">
        <v>42</v>
      </c>
      <c r="C220" s="31">
        <v>380</v>
      </c>
      <c r="D220" s="31">
        <v>0</v>
      </c>
      <c r="E220" s="27">
        <f t="shared" si="48"/>
        <v>380</v>
      </c>
      <c r="F220" s="31">
        <v>-134</v>
      </c>
      <c r="G220" s="31">
        <v>0</v>
      </c>
      <c r="H220" s="27">
        <f t="shared" si="50"/>
        <v>-134</v>
      </c>
      <c r="I220" s="27">
        <f t="shared" si="51"/>
        <v>246</v>
      </c>
      <c r="J220" s="27">
        <f t="shared" si="51"/>
        <v>0</v>
      </c>
      <c r="K220" s="27">
        <f t="shared" si="51"/>
        <v>246</v>
      </c>
    </row>
    <row r="221" spans="1:11" s="20" customFormat="1" ht="13.5" customHeight="1">
      <c r="A221" s="25" t="s">
        <v>31</v>
      </c>
      <c r="B221" s="20" t="s">
        <v>32</v>
      </c>
      <c r="C221" s="26">
        <v>0</v>
      </c>
      <c r="D221" s="26">
        <v>0</v>
      </c>
      <c r="E221" s="27">
        <f t="shared" si="48"/>
        <v>0</v>
      </c>
      <c r="F221" s="31">
        <v>105</v>
      </c>
      <c r="G221" s="31">
        <v>0</v>
      </c>
      <c r="H221" s="27">
        <f t="shared" si="50"/>
        <v>105</v>
      </c>
      <c r="I221" s="27">
        <f t="shared" si="51"/>
        <v>105</v>
      </c>
      <c r="J221" s="27">
        <f t="shared" si="51"/>
        <v>0</v>
      </c>
      <c r="K221" s="27">
        <f t="shared" si="51"/>
        <v>105</v>
      </c>
    </row>
    <row r="222" spans="1:11" s="1" customFormat="1" ht="13.5" customHeight="1">
      <c r="A222" s="29" t="s">
        <v>73</v>
      </c>
      <c r="B222" s="30" t="s">
        <v>74</v>
      </c>
      <c r="C222" s="31">
        <v>0</v>
      </c>
      <c r="D222" s="31">
        <v>0</v>
      </c>
      <c r="E222" s="27">
        <f t="shared" si="48"/>
        <v>0</v>
      </c>
      <c r="F222" s="31">
        <v>78</v>
      </c>
      <c r="G222" s="31">
        <v>0</v>
      </c>
      <c r="H222" s="27">
        <f t="shared" si="50"/>
        <v>78</v>
      </c>
      <c r="I222" s="27">
        <f t="shared" si="51"/>
        <v>78</v>
      </c>
      <c r="J222" s="27">
        <f t="shared" si="51"/>
        <v>0</v>
      </c>
      <c r="K222" s="27">
        <f t="shared" si="51"/>
        <v>78</v>
      </c>
    </row>
    <row r="223" spans="1:11" s="1" customFormat="1" ht="13.5" customHeight="1">
      <c r="A223" s="29" t="s">
        <v>24</v>
      </c>
      <c r="B223" s="30" t="s">
        <v>25</v>
      </c>
      <c r="C223" s="31">
        <v>1406</v>
      </c>
      <c r="D223" s="31">
        <v>0</v>
      </c>
      <c r="E223" s="27">
        <f t="shared" si="48"/>
        <v>1406</v>
      </c>
      <c r="F223" s="31">
        <v>1150</v>
      </c>
      <c r="G223" s="31">
        <v>0</v>
      </c>
      <c r="H223" s="27">
        <f t="shared" si="50"/>
        <v>1150</v>
      </c>
      <c r="I223" s="27">
        <f t="shared" si="51"/>
        <v>2556</v>
      </c>
      <c r="J223" s="27">
        <f t="shared" si="51"/>
        <v>0</v>
      </c>
      <c r="K223" s="27">
        <f t="shared" si="51"/>
        <v>2556</v>
      </c>
    </row>
    <row r="224" spans="1:11" s="1" customFormat="1" ht="13.5" customHeight="1">
      <c r="A224" s="3" t="s">
        <v>95</v>
      </c>
      <c r="B224" s="11" t="s">
        <v>140</v>
      </c>
      <c r="C224" s="12">
        <v>4096747</v>
      </c>
      <c r="D224" s="12">
        <v>1250303</v>
      </c>
      <c r="E224" s="6">
        <f t="shared" si="48"/>
        <v>5347050</v>
      </c>
      <c r="F224" s="12">
        <f>F227</f>
        <v>1420</v>
      </c>
      <c r="G224" s="12">
        <v>0</v>
      </c>
      <c r="H224" s="6">
        <f>F224+G224</f>
        <v>1420</v>
      </c>
      <c r="I224" s="6">
        <f>C224+F224</f>
        <v>4098167</v>
      </c>
      <c r="J224" s="6">
        <f>D224+G224</f>
        <v>1250303</v>
      </c>
      <c r="K224" s="6">
        <f>E224+H224</f>
        <v>5348470</v>
      </c>
    </row>
    <row r="225" spans="1:11" s="1" customFormat="1" ht="13.5" customHeight="1">
      <c r="A225" s="13"/>
      <c r="B225" s="14" t="s">
        <v>13</v>
      </c>
      <c r="C225" s="15"/>
      <c r="D225" s="15"/>
      <c r="E225" s="8"/>
      <c r="F225" s="15"/>
      <c r="G225" s="15"/>
      <c r="H225" s="8"/>
      <c r="I225" s="8"/>
      <c r="J225" s="8"/>
      <c r="K225" s="8"/>
    </row>
    <row r="226" spans="1:11" s="1" customFormat="1" ht="13.5" customHeight="1">
      <c r="A226" s="13"/>
      <c r="B226" s="14" t="s">
        <v>15</v>
      </c>
      <c r="C226" s="15">
        <v>0</v>
      </c>
      <c r="D226" s="15">
        <v>0</v>
      </c>
      <c r="E226" s="8">
        <f aca="true" t="shared" si="52" ref="E226:E231">SUM(C226:D226)</f>
        <v>0</v>
      </c>
      <c r="F226" s="15">
        <v>0</v>
      </c>
      <c r="G226" s="15">
        <v>0</v>
      </c>
      <c r="H226" s="8">
        <f aca="true" t="shared" si="53" ref="H226:H231">F226+G226</f>
        <v>0</v>
      </c>
      <c r="I226" s="8">
        <f>C226+F226</f>
        <v>0</v>
      </c>
      <c r="J226" s="8">
        <f>D226+G226</f>
        <v>0</v>
      </c>
      <c r="K226" s="8">
        <f>E226+H226</f>
        <v>0</v>
      </c>
    </row>
    <row r="227" spans="1:11" s="19" customFormat="1" ht="13.5" customHeight="1">
      <c r="A227" s="28">
        <v>85403</v>
      </c>
      <c r="B227" s="19" t="s">
        <v>141</v>
      </c>
      <c r="C227" s="23">
        <v>2156260</v>
      </c>
      <c r="D227" s="23">
        <v>0</v>
      </c>
      <c r="E227" s="24">
        <f t="shared" si="52"/>
        <v>2156260</v>
      </c>
      <c r="F227" s="23">
        <f>SUM(F228:F230)</f>
        <v>1420</v>
      </c>
      <c r="G227" s="23">
        <v>0</v>
      </c>
      <c r="H227" s="24">
        <f t="shared" si="53"/>
        <v>1420</v>
      </c>
      <c r="I227" s="24">
        <f aca="true" t="shared" si="54" ref="I227:K230">C227+F227</f>
        <v>2157680</v>
      </c>
      <c r="J227" s="24">
        <f t="shared" si="54"/>
        <v>0</v>
      </c>
      <c r="K227" s="24">
        <f t="shared" si="54"/>
        <v>2157680</v>
      </c>
    </row>
    <row r="228" spans="1:11" s="1" customFormat="1" ht="13.5" customHeight="1">
      <c r="A228" s="29" t="s">
        <v>24</v>
      </c>
      <c r="B228" s="30" t="s">
        <v>25</v>
      </c>
      <c r="C228" s="31">
        <v>17000</v>
      </c>
      <c r="D228" s="31">
        <v>0</v>
      </c>
      <c r="E228" s="27">
        <f t="shared" si="52"/>
        <v>17000</v>
      </c>
      <c r="F228" s="31">
        <v>1420</v>
      </c>
      <c r="G228" s="31">
        <v>0</v>
      </c>
      <c r="H228" s="27">
        <f t="shared" si="53"/>
        <v>1420</v>
      </c>
      <c r="I228" s="27">
        <f t="shared" si="54"/>
        <v>18420</v>
      </c>
      <c r="J228" s="27">
        <f t="shared" si="54"/>
        <v>0</v>
      </c>
      <c r="K228" s="27">
        <f t="shared" si="54"/>
        <v>18420</v>
      </c>
    </row>
    <row r="229" spans="1:11" s="1" customFormat="1" ht="13.5" customHeight="1">
      <c r="A229" s="29" t="s">
        <v>88</v>
      </c>
      <c r="B229" s="30" t="s">
        <v>89</v>
      </c>
      <c r="C229" s="31">
        <v>460</v>
      </c>
      <c r="D229" s="31">
        <v>0</v>
      </c>
      <c r="E229" s="27">
        <f t="shared" si="52"/>
        <v>460</v>
      </c>
      <c r="F229" s="31">
        <v>-92</v>
      </c>
      <c r="G229" s="31">
        <v>0</v>
      </c>
      <c r="H229" s="27">
        <f t="shared" si="53"/>
        <v>-92</v>
      </c>
      <c r="I229" s="27">
        <f t="shared" si="54"/>
        <v>368</v>
      </c>
      <c r="J229" s="27">
        <f t="shared" si="54"/>
        <v>0</v>
      </c>
      <c r="K229" s="27">
        <f t="shared" si="54"/>
        <v>368</v>
      </c>
    </row>
    <row r="230" spans="1:11" s="30" customFormat="1" ht="13.5" customHeight="1">
      <c r="A230" s="29" t="s">
        <v>142</v>
      </c>
      <c r="B230" s="30" t="s">
        <v>143</v>
      </c>
      <c r="C230" s="26">
        <v>4000</v>
      </c>
      <c r="D230" s="26">
        <v>0</v>
      </c>
      <c r="E230" s="27">
        <f t="shared" si="52"/>
        <v>4000</v>
      </c>
      <c r="F230" s="31">
        <v>92</v>
      </c>
      <c r="G230" s="31">
        <v>0</v>
      </c>
      <c r="H230" s="27">
        <f t="shared" si="53"/>
        <v>92</v>
      </c>
      <c r="I230" s="27">
        <f t="shared" si="54"/>
        <v>4092</v>
      </c>
      <c r="J230" s="27">
        <f t="shared" si="54"/>
        <v>0</v>
      </c>
      <c r="K230" s="27">
        <f t="shared" si="54"/>
        <v>4092</v>
      </c>
    </row>
    <row r="231" spans="1:11" s="1" customFormat="1" ht="13.5" customHeight="1">
      <c r="A231" s="3" t="s">
        <v>104</v>
      </c>
      <c r="B231" s="11" t="s">
        <v>105</v>
      </c>
      <c r="C231" s="12">
        <v>1203660</v>
      </c>
      <c r="D231" s="12">
        <v>40000</v>
      </c>
      <c r="E231" s="6">
        <f t="shared" si="52"/>
        <v>1243660</v>
      </c>
      <c r="F231" s="12">
        <f>F234</f>
        <v>200000</v>
      </c>
      <c r="G231" s="12">
        <v>0</v>
      </c>
      <c r="H231" s="6">
        <f t="shared" si="53"/>
        <v>200000</v>
      </c>
      <c r="I231" s="6">
        <f>C231+F231</f>
        <v>1403660</v>
      </c>
      <c r="J231" s="6">
        <f>D231+G231</f>
        <v>40000</v>
      </c>
      <c r="K231" s="6">
        <f>E231+H231</f>
        <v>1443660</v>
      </c>
    </row>
    <row r="232" spans="1:11" s="1" customFormat="1" ht="13.5" customHeight="1">
      <c r="A232" s="13"/>
      <c r="B232" s="14" t="s">
        <v>13</v>
      </c>
      <c r="C232" s="15"/>
      <c r="D232" s="15"/>
      <c r="E232" s="8"/>
      <c r="F232" s="15"/>
      <c r="G232" s="15"/>
      <c r="H232" s="8"/>
      <c r="I232" s="8"/>
      <c r="J232" s="8"/>
      <c r="K232" s="8"/>
    </row>
    <row r="233" spans="1:11" s="1" customFormat="1" ht="13.5" customHeight="1">
      <c r="A233" s="16"/>
      <c r="B233" s="17" t="s">
        <v>15</v>
      </c>
      <c r="C233" s="18">
        <v>0</v>
      </c>
      <c r="D233" s="18">
        <v>0</v>
      </c>
      <c r="E233" s="10">
        <f>SUM(C233:D233)</f>
        <v>0</v>
      </c>
      <c r="F233" s="18">
        <v>0</v>
      </c>
      <c r="G233" s="18">
        <v>0</v>
      </c>
      <c r="H233" s="10">
        <f>F233+G233</f>
        <v>0</v>
      </c>
      <c r="I233" s="10">
        <f aca="true" t="shared" si="55" ref="I233:K235">C233+F233</f>
        <v>0</v>
      </c>
      <c r="J233" s="10">
        <f t="shared" si="55"/>
        <v>0</v>
      </c>
      <c r="K233" s="10">
        <f t="shared" si="55"/>
        <v>0</v>
      </c>
    </row>
    <row r="234" spans="1:11" s="43" customFormat="1" ht="13.5" customHeight="1">
      <c r="A234" s="28">
        <v>92116</v>
      </c>
      <c r="B234" s="19" t="s">
        <v>144</v>
      </c>
      <c r="C234" s="23">
        <v>249500</v>
      </c>
      <c r="D234" s="23">
        <v>0</v>
      </c>
      <c r="E234" s="24">
        <f>SUM(C234:D234)</f>
        <v>249500</v>
      </c>
      <c r="F234" s="23">
        <f>SUM(F235:F235)</f>
        <v>200000</v>
      </c>
      <c r="G234" s="23">
        <v>0</v>
      </c>
      <c r="H234" s="24">
        <f>F234+G234</f>
        <v>200000</v>
      </c>
      <c r="I234" s="24">
        <f t="shared" si="55"/>
        <v>449500</v>
      </c>
      <c r="J234" s="24">
        <f t="shared" si="55"/>
        <v>0</v>
      </c>
      <c r="K234" s="24">
        <f t="shared" si="55"/>
        <v>449500</v>
      </c>
    </row>
    <row r="235" spans="1:11" s="44" customFormat="1" ht="13.5" customHeight="1">
      <c r="A235" s="32" t="s">
        <v>110</v>
      </c>
      <c r="B235" s="21" t="s">
        <v>108</v>
      </c>
      <c r="C235" s="33">
        <v>249500</v>
      </c>
      <c r="D235" s="33">
        <v>0</v>
      </c>
      <c r="E235" s="34">
        <f>SUM(C235:D235)</f>
        <v>249500</v>
      </c>
      <c r="F235" s="33">
        <v>200000</v>
      </c>
      <c r="G235" s="33">
        <v>0</v>
      </c>
      <c r="H235" s="34">
        <f>F235+G235</f>
        <v>200000</v>
      </c>
      <c r="I235" s="34">
        <f t="shared" si="55"/>
        <v>449500</v>
      </c>
      <c r="J235" s="34">
        <f t="shared" si="55"/>
        <v>0</v>
      </c>
      <c r="K235" s="34">
        <f t="shared" si="55"/>
        <v>449500</v>
      </c>
    </row>
  </sheetData>
  <mergeCells count="12">
    <mergeCell ref="F6:H6"/>
    <mergeCell ref="I6:K6"/>
    <mergeCell ref="A12:K12"/>
    <mergeCell ref="A158:K158"/>
    <mergeCell ref="I1:J1"/>
    <mergeCell ref="I2:K2"/>
    <mergeCell ref="I3:K3"/>
    <mergeCell ref="I4:K4"/>
    <mergeCell ref="A5:K5"/>
    <mergeCell ref="A6:A7"/>
    <mergeCell ref="B6:B7"/>
    <mergeCell ref="C6:E6"/>
  </mergeCells>
  <printOptions/>
  <pageMargins left="0" right="0" top="0.3937007874015748" bottom="0.3937007874015748" header="0" footer="0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2005-06-09T08:59:41Z</cp:lastPrinted>
  <dcterms:created xsi:type="dcterms:W3CDTF">2004-06-07T06:29:07Z</dcterms:created>
  <dcterms:modified xsi:type="dcterms:W3CDTF">2005-06-20T06:47:56Z</dcterms:modified>
  <cp:category/>
  <cp:version/>
  <cp:contentType/>
  <cp:contentStatus/>
</cp:coreProperties>
</file>